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bookViews>
    <workbookView visibility="visible" minimized="1" showHorizontalScroll="1" showVerticalScroll="1" showSheetTabs="1" xWindow="0" yWindow="600" windowWidth="28280" windowHeight="18120" tabRatio="500" firstSheet="0" activeTab="1" autoFilterDateGrouping="1"/>
  </bookViews>
  <sheets>
    <sheet xmlns:r="http://schemas.openxmlformats.org/officeDocument/2006/relationships" name="README" sheetId="1" state="visible" r:id="rId1"/>
    <sheet xmlns:r="http://schemas.openxmlformats.org/officeDocument/2006/relationships" name="Summary" sheetId="2" state="visible" r:id="rId2"/>
    <sheet xmlns:r="http://schemas.openxmlformats.org/officeDocument/2006/relationships" name="Budget" sheetId="3" state="visible" r:id="rId3"/>
    <sheet xmlns:r="http://schemas.openxmlformats.org/officeDocument/2006/relationships" name="Inputs" sheetId="4" state="visible" r:id="rId4"/>
    <sheet xmlns:r="http://schemas.openxmlformats.org/officeDocument/2006/relationships" name="Giving" sheetId="5" state="visible" r:id="rId5"/>
    <sheet xmlns:r="http://schemas.openxmlformats.org/officeDocument/2006/relationships" name="Reserves" sheetId="6" state="visible" r:id="rId6"/>
    <sheet xmlns:r="http://schemas.openxmlformats.org/officeDocument/2006/relationships" name="Levers" sheetId="7" state="visible" r:id="rId7"/>
  </sheets>
  <definedNames/>
  <calcPr calcId="191029" fullCalcOnLoad="1" iterateDelta="0.0001"/>
</workbook>
</file>

<file path=xl/styles.xml><?xml version="1.0" encoding="utf-8"?>
<styleSheet xmlns="http://schemas.openxmlformats.org/spreadsheetml/2006/main">
  <numFmts count="2">
    <numFmt numFmtId="164" formatCode="0.0%"/>
    <numFmt numFmtId="165" formatCode="\$#,##0;&quot;($&quot;#,##0\);\-"/>
  </numFmts>
  <fonts count="10">
    <font>
      <name val="Calibri"/>
      <charset val="1"/>
      <family val="2"/>
      <color theme="1"/>
      <sz val="11"/>
    </font>
    <font>
      <name val="Arial"/>
      <family val="2"/>
      <b val="1"/>
      <sz val="14"/>
    </font>
    <font>
      <name val="Arial"/>
      <family val="2"/>
      <sz val="11"/>
    </font>
    <font>
      <name val="Arial"/>
      <family val="2"/>
      <b val="1"/>
      <sz val="11"/>
    </font>
    <font>
      <name val="Arial"/>
      <family val="2"/>
      <b val="1"/>
      <color rgb="FFFFFFFF"/>
      <sz val="11"/>
    </font>
    <font>
      <name val="Arial"/>
      <family val="2"/>
      <color rgb="FF008000"/>
      <sz val="11"/>
    </font>
    <font>
      <name val="Arial"/>
      <family val="2"/>
      <i val="1"/>
      <color rgb="FF555555"/>
      <sz val="11"/>
    </font>
    <font>
      <name val="Arial"/>
      <family val="2"/>
      <color rgb="FF0000FF"/>
      <sz val="11"/>
    </font>
    <font>
      <name val="Arial"/>
      <family val="2"/>
      <b val="1"/>
      <color rgb="FF008000"/>
      <sz val="11"/>
    </font>
    <font>
      <name val="Arial"/>
      <family val="2"/>
      <i val="1"/>
      <sz val="11"/>
    </font>
  </fonts>
  <fills count="6">
    <fill>
      <patternFill/>
    </fill>
    <fill>
      <patternFill patternType="gray125"/>
    </fill>
    <fill>
      <patternFill patternType="solid">
        <fgColor rgb="FF1F3A5F"/>
        <bgColor rgb="FF333333"/>
      </patternFill>
    </fill>
    <fill>
      <patternFill patternType="solid">
        <fgColor rgb="FFFFFF00"/>
        <bgColor rgb="FFFFFF00"/>
      </patternFill>
    </fill>
    <fill>
      <patternFill patternType="solid">
        <fgColor rgb="FFEDEDED"/>
        <bgColor rgb="FFD9E2F3"/>
      </patternFill>
    </fill>
    <fill>
      <patternFill patternType="solid">
        <fgColor rgb="FFD9E2F3"/>
        <bgColor rgb="FFEDEDED"/>
      </patternFill>
    </fill>
  </fills>
  <borders count="3">
    <border>
      <left/>
      <right/>
      <top/>
      <bottom/>
      <diagonal/>
    </border>
    <border>
      <left/>
      <right/>
      <top style="thin">
        <color rgb="FF999999"/>
      </top>
      <bottom/>
      <diagonal/>
    </border>
    <border>
      <left/>
      <right/>
      <top style="thin">
        <color rgb="FF999999"/>
      </top>
      <bottom style="double">
        <color rgb="FF999999"/>
      </bottom>
      <diagonal/>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3" fillId="0" borderId="0" pivotButton="0" quotePrefix="0" xfId="0"/>
    <xf numFmtId="0" fontId="4" fillId="2" borderId="0" applyAlignment="1" pivotButton="0" quotePrefix="0" xfId="0">
      <alignment vertical="center" wrapText="1"/>
    </xf>
    <xf numFmtId="164" fontId="5" fillId="0" borderId="0" pivotButton="0" quotePrefix="0" xfId="0"/>
    <xf numFmtId="0" fontId="6" fillId="0" borderId="0" applyAlignment="1" pivotButton="0" quotePrefix="0" xfId="0">
      <alignment vertical="top" wrapText="1"/>
    </xf>
    <xf numFmtId="164" fontId="7" fillId="0" borderId="0" pivotButton="0" quotePrefix="0" xfId="0"/>
    <xf numFmtId="164" fontId="7" fillId="3" borderId="0" pivotButton="0" quotePrefix="0" xfId="0"/>
    <xf numFmtId="1" fontId="7" fillId="0" borderId="0" pivotButton="0" quotePrefix="0" xfId="0"/>
    <xf numFmtId="165" fontId="5" fillId="0" borderId="0" pivotButton="0" quotePrefix="0" xfId="0"/>
    <xf numFmtId="165" fontId="8" fillId="4" borderId="1" pivotButton="0" quotePrefix="0" xfId="0"/>
    <xf numFmtId="165" fontId="2" fillId="0" borderId="0" pivotButton="0" quotePrefix="0" xfId="0"/>
    <xf numFmtId="165" fontId="3" fillId="0" borderId="0" pivotButton="0" quotePrefix="0" xfId="0"/>
    <xf numFmtId="0" fontId="6" fillId="0" borderId="0" pivotButton="0" quotePrefix="0" xfId="0"/>
    <xf numFmtId="0" fontId="3" fillId="5" borderId="0" pivotButton="0" quotePrefix="0" xfId="0"/>
    <xf numFmtId="0" fontId="0" fillId="5" borderId="0" pivotButton="0" quotePrefix="0" xfId="0"/>
    <xf numFmtId="165" fontId="7" fillId="0" borderId="0" pivotButton="0" quotePrefix="0" xfId="0"/>
    <xf numFmtId="0" fontId="3" fillId="0" borderId="1" pivotButton="0" quotePrefix="0" xfId="0"/>
    <xf numFmtId="165" fontId="3" fillId="0" borderId="1" pivotButton="0" quotePrefix="0" xfId="0"/>
    <xf numFmtId="0" fontId="3" fillId="4" borderId="2" pivotButton="0" quotePrefix="0" xfId="0"/>
    <xf numFmtId="165" fontId="3" fillId="4" borderId="2" pivotButton="0" quotePrefix="0" xfId="0"/>
    <xf numFmtId="0" fontId="2" fillId="0" borderId="1" pivotButton="0" quotePrefix="0" xfId="0"/>
    <xf numFmtId="165" fontId="2" fillId="0" borderId="1" pivotButton="0" quotePrefix="0" xfId="0"/>
    <xf numFmtId="165" fontId="3" fillId="3" borderId="0" pivotButton="0" quotePrefix="0" xfId="0"/>
    <xf numFmtId="2" fontId="5" fillId="0" borderId="0" pivotButton="0" quotePrefix="0" xfId="0"/>
    <xf numFmtId="0" fontId="3" fillId="4" borderId="0" pivotButton="0" quotePrefix="0" xfId="0"/>
    <xf numFmtId="0" fontId="0" fillId="4" borderId="0" pivotButton="0" quotePrefix="0" xfId="0"/>
    <xf numFmtId="0" fontId="2" fillId="0" borderId="0" applyAlignment="1" pivotButton="0" quotePrefix="0" xfId="0">
      <alignment vertical="top" wrapText="1"/>
    </xf>
    <xf numFmtId="165" fontId="7" fillId="3" borderId="0" pivotButton="0" quotePrefix="0" xfId="0"/>
    <xf numFmtId="1" fontId="7" fillId="3" borderId="0" pivotButton="0" quotePrefix="0" xfId="0"/>
    <xf numFmtId="1" fontId="2" fillId="0" borderId="0" pivotButton="0" quotePrefix="0" xfId="0"/>
    <xf numFmtId="164" fontId="2" fillId="0" borderId="0" pivotButton="0" quotePrefix="0" xfId="0"/>
    <xf numFmtId="0" fontId="7" fillId="3" borderId="0" pivotButton="0" quotePrefix="0" xfId="0"/>
    <xf numFmtId="0" fontId="9" fillId="0" borderId="0" pivotButton="0" quotePrefix="0" xfId="0"/>
  </cellXfs>
  <cellStyles count="1">
    <cellStyle name="Normal" xfId="0" builtinId="0"/>
  </cellStyles>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EDEDED"/>
      <rgbColor rgb="FFCCFFFF"/>
      <rgbColor rgb="FF660066"/>
      <rgbColor rgb="FFFF8080"/>
      <rgbColor rgb="FF0066CC"/>
      <rgbColor rgb="FFD9E2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55555"/>
      <rgbColor rgb="FF999999"/>
      <rgbColor rgb="FF1F3A5F"/>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styles" Target="styles.xml" Id="rId8"/><Relationship Type="http://schemas.openxmlformats.org/officeDocument/2006/relationships/theme" Target="theme/theme1.xml" Id="rId9"/></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21"/>
  <sheetViews>
    <sheetView zoomScaleNormal="100" workbookViewId="0">
      <selection activeCell="A1" sqref="A1"/>
    </sheetView>
  </sheetViews>
  <sheetFormatPr baseColWidth="10" defaultColWidth="8.6640625" defaultRowHeight="15"/>
  <cols>
    <col width="140" customWidth="1" min="1" max="1"/>
  </cols>
  <sheetData>
    <row r="1" ht="18" customHeight="1">
      <c r="A1" s="1" t="inlineStr">
        <is>
          <t>SFUMC 2027 Projected Budget Scenarios</t>
        </is>
      </c>
    </row>
    <row r="2"/>
    <row r="3">
      <c r="A3" s="2" t="inlineStr">
        <is>
          <t>Built 2026-09-21 for Woods. Sources: 2026_Budget.xlsx, coded_giving_multiyear.csv, the June 2026 Finance giving analysis, and the Handoff 2 brief.</t>
        </is>
      </c>
    </row>
    <row r="4">
      <c r="A4" s="2" t="n"/>
    </row>
    <row r="5">
      <c r="A5" s="3" t="inlineStr">
        <is>
          <t>READ IN THIS ORDER</t>
        </is>
      </c>
    </row>
    <row r="6">
      <c r="A6" s="2" t="inlineStr">
        <is>
          <t>Summary: the four scenario assumptions and the bottom line for each case.</t>
        </is>
      </c>
    </row>
    <row r="7">
      <c r="A7" s="2" t="inlineStr">
        <is>
          <t>Budget: every line of the 2027 budget in the budget file's order, with 2023 actual, 2026 budget, 2027 proposed and the three scenarios.</t>
        </is>
      </c>
    </row>
    <row r="8">
      <c r="A8" s="2" t="inlineStr">
        <is>
          <t>Levers: each lever, the budget line it lands on, low and high values, and the value it contributes in each scenario.</t>
        </is>
      </c>
    </row>
    <row r="9">
      <c r="A9" s="2" t="inlineStr">
        <is>
          <t>Inputs: fixed figures and the two decisions (thrift store and the draw cap).</t>
        </is>
      </c>
    </row>
    <row r="10">
      <c r="A10" s="2" t="inlineStr">
        <is>
          <t>Giving: cohort math from a de-identified household giving extract. The extract itself is withheld from this shared copy, so these figures are fixed values.</t>
        </is>
      </c>
    </row>
    <row r="11">
      <c r="A11" s="2" t="inlineStr">
        <is>
          <t>Reserves: runway skeleton. Most of it waits on Elisha's restricted vs unrestricted mapping.</t>
        </is>
      </c>
    </row>
    <row r="12">
      <c r="A12" s="2" t="n"/>
    </row>
    <row r="13">
      <c r="A13" s="3" t="inlineStr">
        <is>
          <t>COLOR KEY</t>
        </is>
      </c>
    </row>
    <row r="14">
      <c r="A14" s="2" t="inlineStr">
        <is>
          <t>Blue text = a number you can change. Yellow fill = a key assumption or open question. Black = formula. Green = formula pulling from another tab.</t>
        </is>
      </c>
    </row>
    <row r="15">
      <c r="A15" s="2" t="n"/>
    </row>
    <row r="16">
      <c r="A16" s="3" t="inlineStr">
        <is>
          <t>PROVENANCE KEY</t>
        </is>
      </c>
    </row>
    <row r="17">
      <c r="A17" s="2" t="inlineStr">
        <is>
          <t>Budget file = 2026_Budget.xlsx. Giving file = coded_giving_multiyear.csv. June analysis = SFUMC_Giving_Analysis_Finance_June2026.docx.</t>
        </is>
      </c>
    </row>
    <row r="18">
      <c r="A18" s="2" t="inlineStr">
        <is>
          <t>Handoff = Woods's Handoff 2 brief (figures from church records). Woods's judgment = his knowledge of specific households. Estimate = Claude's placeholder.</t>
        </is>
      </c>
    </row>
    <row r="19">
      <c r="A19" s="2" t="n"/>
    </row>
    <row r="20">
      <c r="A20" s="3" t="inlineStr">
        <is>
          <t>WHAT THIS MODEL DOES NOT KNOW YET</t>
        </is>
      </c>
    </row>
    <row r="21">
      <c r="A21" s="2" t="inlineStr">
        <is>
          <t>2024 and 2025 actuals by line. Personnel by position. Which 2026 lines are running under budget and why. Restricted vs unrestricted reserves. The insurance payment schedule. Any Building Committee rental with a signed lease.</t>
        </is>
      </c>
    </row>
  </sheetData>
  <pageMargins left="0.75" right="0.75" top="1" bottom="1" header="0.511811023622047" footer="0.511811023622047"/>
  <pageSetup orientation="portrait" paperSize="9" horizontalDpi="300" verticalDpi="300"/>
</worksheet>
</file>

<file path=xl/worksheets/sheet2.xml><?xml version="1.0" encoding="utf-8"?>
<worksheet xmlns="http://schemas.openxmlformats.org/spreadsheetml/2006/main">
  <sheetPr>
    <outlinePr summaryBelow="1" summaryRight="1"/>
    <pageSetUpPr fitToPage="1"/>
  </sheetPr>
  <dimension ref="A1:E24"/>
  <sheetViews>
    <sheetView tabSelected="1" zoomScaleNormal="100" workbookViewId="0">
      <pane xSplit="1" ySplit="3" topLeftCell="B4" activePane="bottomRight" state="frozen"/>
      <selection pane="topRight" activeCell="B1" sqref="B1"/>
      <selection pane="bottomLeft" activeCell="A4" sqref="A4"/>
      <selection pane="bottomRight" activeCell="A27" sqref="A27"/>
    </sheetView>
  </sheetViews>
  <sheetFormatPr baseColWidth="10" defaultColWidth="8.6640625" defaultRowHeight="15"/>
  <cols>
    <col width="58" customWidth="1" min="1" max="1"/>
    <col width="17" customWidth="1" min="2" max="2"/>
    <col width="29.6640625" customWidth="1" min="3" max="3"/>
    <col width="17" customWidth="1" min="4" max="5"/>
  </cols>
  <sheetData>
    <row r="1" ht="18" customHeight="1">
      <c r="A1" s="1" t="inlineStr">
        <is>
          <t>SFUMC 2027 Budget Scenarios: Summary</t>
        </is>
      </c>
    </row>
    <row r="2"/>
    <row r="3" ht="30" customHeight="1">
      <c r="A3" s="4" t="n"/>
      <c r="B3" s="4" t="inlineStr">
        <is>
          <t>Proposed as written</t>
        </is>
      </c>
      <c r="C3" s="4" t="inlineStr">
        <is>
          <t>Conservative</t>
        </is>
      </c>
      <c r="D3" s="4" t="inlineStr">
        <is>
          <t>Expected</t>
        </is>
      </c>
      <c r="E3" s="4" t="inlineStr">
        <is>
          <t>Optimistic</t>
        </is>
      </c>
    </row>
    <row r="4" ht="59" customHeight="1">
      <c r="A4" s="3" t="inlineStr">
        <is>
          <t>SCENARIO ASSUMPTIONS</t>
        </is>
      </c>
      <c r="C4" s="6" t="inlineStr">
        <is>
          <t>Conservative uses 2024's pattern, the others 2025's (giving file). Lower share = more still to come = higher projection</t>
        </is>
      </c>
    </row>
    <row r="5">
      <c r="A5" s="2" t="inlineStr">
        <is>
          <t>Share of 2026 giving in by this date</t>
        </is>
      </c>
      <c r="C5" s="5">
        <f>Inputs!$B$5</f>
        <v/>
      </c>
      <c r="D5" s="5">
        <f>Inputs!$B$4</f>
        <v/>
      </c>
      <c r="E5" s="5">
        <f>Inputs!$B$4</f>
        <v/>
      </c>
    </row>
    <row r="6">
      <c r="A6" s="2" t="inlineStr">
        <is>
          <t>2027 organic giving growth over 2026</t>
        </is>
      </c>
      <c r="C6" s="7" t="n">
        <v>0</v>
      </c>
      <c r="D6" s="7" t="n">
        <v>0</v>
      </c>
      <c r="E6" s="7" t="n">
        <v>0.02</v>
      </c>
    </row>
    <row r="7">
      <c r="A7" s="2" t="inlineStr">
        <is>
          <t>Share of remaining 2026 underspend that is lasting</t>
        </is>
      </c>
      <c r="C7" s="8" t="n">
        <v>0.25</v>
      </c>
      <c r="D7" s="8" t="n">
        <v>0.5</v>
      </c>
      <c r="E7" s="8" t="n">
        <v>0.75</v>
      </c>
    </row>
    <row r="8">
      <c r="A8" s="2" t="inlineStr">
        <is>
          <t>Lever case (1 = low, 2 = mid, 3 = high)</t>
        </is>
      </c>
      <c r="C8" s="9" t="n">
        <v>1</v>
      </c>
      <c r="D8" s="9" t="n">
        <v>2</v>
      </c>
      <c r="E8" s="9" t="n">
        <v>3</v>
      </c>
    </row>
    <row r="9"/>
    <row r="10">
      <c r="A10" s="3" t="inlineStr">
        <is>
          <t>BOTTOM LINE (from the Budget tab)</t>
        </is>
      </c>
    </row>
    <row r="11">
      <c r="A11" s="2" t="inlineStr">
        <is>
          <t>Total revenue</t>
        </is>
      </c>
      <c r="B11" s="10">
        <f>Budget!D36</f>
        <v/>
      </c>
      <c r="C11" s="10">
        <f>Budget!E36</f>
        <v/>
      </c>
      <c r="D11" s="10">
        <f>Budget!F36</f>
        <v/>
      </c>
      <c r="E11" s="10">
        <f>Budget!G36</f>
        <v/>
      </c>
    </row>
    <row r="12">
      <c r="A12" s="2" t="inlineStr">
        <is>
          <t>Total expenses</t>
        </is>
      </c>
      <c r="B12" s="10">
        <f>Budget!D156</f>
        <v/>
      </c>
      <c r="C12" s="10">
        <f>Budget!E156</f>
        <v/>
      </c>
      <c r="D12" s="10">
        <f>Budget!F156</f>
        <v/>
      </c>
      <c r="E12" s="10">
        <f>Budget!G156</f>
        <v/>
      </c>
    </row>
    <row r="13">
      <c r="A13" s="3" t="inlineStr">
        <is>
          <t>Operating result</t>
        </is>
      </c>
      <c r="B13" s="11">
        <f>Budget!D158</f>
        <v/>
      </c>
      <c r="C13" s="11">
        <f>Budget!E158</f>
        <v/>
      </c>
      <c r="D13" s="11">
        <f>Budget!F158</f>
        <v/>
      </c>
      <c r="E13" s="11">
        <f>Budget!G158</f>
        <v/>
      </c>
    </row>
    <row r="14"/>
    <row r="15">
      <c r="A15" s="2" t="inlineStr">
        <is>
          <t xml:space="preserve">   of which revenue levers</t>
        </is>
      </c>
      <c r="B15" s="12">
        <f>0</f>
        <v/>
      </c>
      <c r="C15" s="10">
        <f>Levers!L18</f>
        <v/>
      </c>
      <c r="D15" s="10">
        <f>Levers!M18</f>
        <v/>
      </c>
      <c r="E15" s="10">
        <f>Levers!N18</f>
        <v/>
      </c>
    </row>
    <row r="16">
      <c r="A16" s="2" t="inlineStr">
        <is>
          <t xml:space="preserve">   of which expense levers</t>
        </is>
      </c>
      <c r="B16" s="12">
        <f>0</f>
        <v/>
      </c>
      <c r="C16" s="10">
        <f>Levers!L19</f>
        <v/>
      </c>
      <c r="D16" s="10">
        <f>Levers!M19</f>
        <v/>
      </c>
      <c r="E16" s="10">
        <f>Levers!N19</f>
        <v/>
      </c>
    </row>
    <row r="17"/>
    <row r="18">
      <c r="A18" s="3" t="inlineStr">
        <is>
          <t>Reserve draw needed for operating</t>
        </is>
      </c>
      <c r="B18" s="13">
        <f>MAX(0,-B13)</f>
        <v/>
      </c>
      <c r="C18" s="13">
        <f>MAX(0,-C13)</f>
        <v/>
      </c>
      <c r="D18" s="13">
        <f>MAX(0,-D13)</f>
        <v/>
      </c>
      <c r="E18" s="13">
        <f>MAX(0,-E13)</f>
        <v/>
      </c>
    </row>
    <row r="19">
      <c r="A19" s="2" t="inlineStr">
        <is>
          <t>Draw cap (Inputs)</t>
        </is>
      </c>
      <c r="B19" s="10">
        <f>Inputs!$B$15</f>
        <v/>
      </c>
      <c r="C19" s="10">
        <f>Inputs!$B$15</f>
        <v/>
      </c>
      <c r="D19" s="10">
        <f>Inputs!$B$15</f>
        <v/>
      </c>
      <c r="E19" s="10">
        <f>Inputs!$B$15</f>
        <v/>
      </c>
    </row>
    <row r="20">
      <c r="A20" s="3" t="inlineStr">
        <is>
          <t>Over the cap</t>
        </is>
      </c>
      <c r="B20" s="13">
        <f>MAX(0,B18-B19)</f>
        <v/>
      </c>
      <c r="C20" s="13">
        <f>MAX(0,C18-C19)</f>
        <v/>
      </c>
      <c r="D20" s="13">
        <f>MAX(0,D18-D19)</f>
        <v/>
      </c>
      <c r="E20" s="13">
        <f>MAX(0,E18-E19)</f>
        <v/>
      </c>
    </row>
    <row r="21"/>
    <row r="22">
      <c r="A22" s="2" t="n"/>
      <c r="B22" s="12" t="n"/>
      <c r="C22" s="12" t="n"/>
      <c r="D22" s="10">
        <f>Inputs!$B$16</f>
        <v/>
      </c>
      <c r="E22" s="12" t="n"/>
    </row>
    <row r="23"/>
    <row r="24">
      <c r="A24" s="14" t="n"/>
    </row>
  </sheetData>
  <pageMargins left="0.75" right="0.75" top="1" bottom="1" header="0.511811023622047" footer="0.511811023622047"/>
  <pageSetup orientation="landscape" paperSize="9" scale="88" horizontalDpi="300" verticalDpi="300"/>
</worksheet>
</file>

<file path=xl/worksheets/sheet3.xml><?xml version="1.0" encoding="utf-8"?>
<worksheet xmlns="http://schemas.openxmlformats.org/spreadsheetml/2006/main">
  <sheetPr>
    <outlinePr summaryBelow="1" summaryRight="1"/>
    <pageSetUpPr/>
  </sheetPr>
  <dimension ref="A1:I161"/>
  <sheetViews>
    <sheetView zoomScaleNormal="100" workbookViewId="0">
      <pane xSplit="1" ySplit="4" topLeftCell="B5" activePane="bottomRight" state="frozen"/>
      <selection pane="topRight" activeCell="B1" sqref="B1"/>
      <selection pane="bottomLeft" activeCell="A5" sqref="A5"/>
      <selection pane="bottomRight" activeCell="A1" sqref="A1"/>
    </sheetView>
  </sheetViews>
  <sheetFormatPr baseColWidth="10" defaultColWidth="8.6640625" defaultRowHeight="15"/>
  <cols>
    <col width="56" customWidth="1" min="1" max="1"/>
    <col width="14" customWidth="1" min="2" max="8"/>
    <col width="80" customWidth="1" min="9" max="9"/>
  </cols>
  <sheetData>
    <row r="1" ht="18" customHeight="1">
      <c r="A1" s="1" t="inlineStr">
        <is>
          <t>SFUMC 2027 Projected Budget by Line</t>
        </is>
      </c>
    </row>
    <row r="2">
      <c r="A2" s="14" t="inlineStr">
        <is>
          <t>Historical columns from the budget file. Scenario columns start from the 2027 proposal and change only where a note says so.</t>
        </is>
      </c>
    </row>
    <row r="3"/>
    <row r="4" ht="30" customHeight="1">
      <c r="A4" s="4" t="inlineStr">
        <is>
          <t>Line</t>
        </is>
      </c>
      <c r="B4" s="4" t="inlineStr">
        <is>
          <t>2023 Actual</t>
        </is>
      </c>
      <c r="C4" s="4" t="inlineStr">
        <is>
          <t>2026 Budget</t>
        </is>
      </c>
      <c r="D4" s="4" t="inlineStr">
        <is>
          <t>2027 Proposed</t>
        </is>
      </c>
      <c r="E4" s="4" t="inlineStr">
        <is>
          <t>Conservative</t>
        </is>
      </c>
      <c r="F4" s="4" t="inlineStr">
        <is>
          <t>Expected</t>
        </is>
      </c>
      <c r="G4" s="4" t="inlineStr">
        <is>
          <t>Optimistic</t>
        </is>
      </c>
      <c r="H4" s="4" t="inlineStr">
        <is>
          <t>Expected vs Proposed</t>
        </is>
      </c>
      <c r="I4" s="4" t="inlineStr">
        <is>
          <t>What changed</t>
        </is>
      </c>
    </row>
    <row r="5">
      <c r="A5" s="15" t="inlineStr">
        <is>
          <t>REVENUE</t>
        </is>
      </c>
      <c r="B5" s="16" t="n"/>
      <c r="C5" s="16" t="n"/>
      <c r="D5" s="16" t="n"/>
      <c r="E5" s="16" t="n"/>
      <c r="F5" s="16" t="n"/>
      <c r="G5" s="16" t="n"/>
      <c r="H5" s="16" t="n"/>
      <c r="I5" s="16" t="n"/>
    </row>
    <row r="6">
      <c r="A6" s="3" t="inlineStr">
        <is>
          <t>Offerings and church income</t>
        </is>
      </c>
    </row>
    <row r="7" ht="30" customHeight="1">
      <c r="A7" s="2" t="inlineStr">
        <is>
          <t>40100 + 40130 Pledge and non-pledge offerings (combined)</t>
        </is>
      </c>
      <c r="B7" s="17" t="n">
        <v>1109727.11</v>
      </c>
      <c r="C7" s="17" t="n">
        <v>776328</v>
      </c>
      <c r="D7" s="17" t="n">
        <v>776328</v>
      </c>
      <c r="E7" s="10">
        <f>Inputs!$B$3/Summary!$C$5*(1+Summary!$C$6)</f>
        <v/>
      </c>
      <c r="F7" s="10">
        <f>Inputs!$B$3/Summary!$D$5*(1+Summary!$D$6)</f>
        <v/>
      </c>
      <c r="G7" s="10">
        <f>Inputs!$B$3/Summary!$E$5*(1+Summary!$E$6)</f>
        <v/>
      </c>
      <c r="H7" s="12">
        <f>F7-D7</f>
        <v/>
      </c>
      <c r="I7" s="6" t="inlineStr">
        <is>
          <t>Projected: 2026 giving to date divided by the seasonal share, then organic growth. Shown combined because the pledge/non-pledge split is shifting (June analysis)</t>
        </is>
      </c>
    </row>
    <row r="8">
      <c r="A8" s="2" t="inlineStr">
        <is>
          <t>Known household changes (new)</t>
        </is>
      </c>
      <c r="B8" s="17" t="n">
        <v>0</v>
      </c>
      <c r="C8" s="17" t="n">
        <v>0</v>
      </c>
      <c r="D8" s="17" t="n">
        <v>0</v>
      </c>
      <c r="E8" s="10">
        <f>0+SUMIF(Levers!$K$2:$K$15,"KNOWN",Levers!$L$2:$L$15)</f>
        <v/>
      </c>
      <c r="F8" s="10">
        <f>0+SUMIF(Levers!$K$2:$K$15,"KNOWN",Levers!$M$2:$M$15)</f>
        <v/>
      </c>
      <c r="G8" s="10">
        <f>0+SUMIF(Levers!$K$2:$K$15,"KNOWN",Levers!$N$2:$N$15)</f>
        <v/>
      </c>
      <c r="H8" s="12">
        <f>F8-D8</f>
        <v/>
      </c>
      <c r="I8" s="6" t="inlineStr">
        <is>
          <t>Woods's judgment; see Levers</t>
        </is>
      </c>
    </row>
    <row r="9">
      <c r="A9" s="2" t="inlineStr">
        <is>
          <t>Stewardship step-up appeal (new)</t>
        </is>
      </c>
      <c r="B9" s="17" t="n">
        <v>0</v>
      </c>
      <c r="C9" s="17" t="n">
        <v>0</v>
      </c>
      <c r="D9" s="17" t="n">
        <v>0</v>
      </c>
      <c r="E9" s="10">
        <f>0+SUMIF(Levers!$K$2:$K$15,"STEPUP",Levers!$L$2:$L$15)</f>
        <v/>
      </c>
      <c r="F9" s="10">
        <f>0+SUMIF(Levers!$K$2:$K$15,"STEPUP",Levers!$M$2:$M$15)</f>
        <v/>
      </c>
      <c r="G9" s="10">
        <f>0+SUMIF(Levers!$K$2:$K$15,"STEPUP",Levers!$N$2:$N$15)</f>
        <v/>
      </c>
      <c r="H9" s="12">
        <f>F9-D9</f>
        <v/>
      </c>
      <c r="I9" s="6" t="inlineStr">
        <is>
          <t>Levers</t>
        </is>
      </c>
    </row>
    <row r="10">
      <c r="A10" s="2" t="inlineStr">
        <is>
          <t>New-member giving (new)</t>
        </is>
      </c>
      <c r="B10" s="17" t="n">
        <v>0</v>
      </c>
      <c r="C10" s="17" t="n">
        <v>0</v>
      </c>
      <c r="D10" s="17" t="n">
        <v>0</v>
      </c>
      <c r="E10" s="10">
        <f>0+SUMIF(Levers!$K$2:$K$15,"NEWMEM",Levers!$L$2:$L$15)</f>
        <v/>
      </c>
      <c r="F10" s="10">
        <f>0+SUMIF(Levers!$K$2:$K$15,"NEWMEM",Levers!$M$2:$M$15)</f>
        <v/>
      </c>
      <c r="G10" s="10">
        <f>0+SUMIF(Levers!$K$2:$K$15,"NEWMEM",Levers!$N$2:$N$15)</f>
        <v/>
      </c>
      <c r="H10" s="12">
        <f>F10-D10</f>
        <v/>
      </c>
      <c r="I10" s="6" t="inlineStr">
        <is>
          <t>Levers</t>
        </is>
      </c>
    </row>
    <row r="11">
      <c r="A11" s="2" t="inlineStr">
        <is>
          <t>Lapsed-household recovery (new)</t>
        </is>
      </c>
      <c r="B11" s="17" t="n">
        <v>0</v>
      </c>
      <c r="C11" s="17" t="n">
        <v>0</v>
      </c>
      <c r="D11" s="17" t="n">
        <v>0</v>
      </c>
      <c r="E11" s="10">
        <f>0+SUMIF(Levers!$K$2:$K$15,"LAPSED",Levers!$L$2:$L$15)</f>
        <v/>
      </c>
      <c r="F11" s="10">
        <f>0+SUMIF(Levers!$K$2:$K$15,"LAPSED",Levers!$M$2:$M$15)</f>
        <v/>
      </c>
      <c r="G11" s="10">
        <f>0+SUMIF(Levers!$K$2:$K$15,"LAPSED",Levers!$N$2:$N$15)</f>
        <v/>
      </c>
      <c r="H11" s="12">
        <f>F11-D11</f>
        <v/>
      </c>
      <c r="I11" s="6" t="inlineStr">
        <is>
          <t>Levers</t>
        </is>
      </c>
    </row>
    <row r="12">
      <c r="A12" s="2" t="inlineStr">
        <is>
          <t>40120 - Plate Offerings</t>
        </is>
      </c>
      <c r="B12" s="17" t="n">
        <v>14763.74</v>
      </c>
      <c r="C12" s="17" t="n">
        <v>8000</v>
      </c>
      <c r="D12" s="17" t="n">
        <v>8000</v>
      </c>
      <c r="E12" s="12">
        <f>$D12</f>
        <v/>
      </c>
      <c r="F12" s="12">
        <f>$D12</f>
        <v/>
      </c>
      <c r="G12" s="12">
        <f>$D12</f>
        <v/>
      </c>
      <c r="H12" s="12">
        <f>F12-D12</f>
        <v/>
      </c>
    </row>
    <row r="13">
      <c r="A13" s="2" t="inlineStr">
        <is>
          <t>42100 - Interest Income-Bank/Other</t>
        </is>
      </c>
      <c r="B13" s="17" t="n">
        <v>11370.32</v>
      </c>
      <c r="C13" s="17" t="n">
        <v>20000</v>
      </c>
      <c r="D13" s="17" t="n">
        <v>20000</v>
      </c>
      <c r="E13" s="10">
        <f>Inputs!$B$7</f>
        <v/>
      </c>
      <c r="F13" s="10">
        <f>Inputs!$B$7</f>
        <v/>
      </c>
      <c r="G13" s="10">
        <f>Inputs!$B$7</f>
        <v/>
      </c>
      <c r="H13" s="12">
        <f>F13-D13</f>
        <v/>
      </c>
      <c r="I13" s="6" t="inlineStr">
        <is>
          <t>Lowered to the Inputs value (estimate)</t>
        </is>
      </c>
    </row>
    <row r="14">
      <c r="A14" s="2" t="inlineStr">
        <is>
          <t>44020 - Rental Income</t>
        </is>
      </c>
      <c r="B14" s="17" t="n">
        <v>87796.32000000001</v>
      </c>
      <c r="C14" s="17" t="n">
        <v>87800</v>
      </c>
      <c r="D14" s="17" t="n">
        <v>87800</v>
      </c>
      <c r="E14" s="10">
        <f>$D14+SUMIF(Levers!$K$2:$K$15,"L44020",Levers!$L$2:$L$15)</f>
        <v/>
      </c>
      <c r="F14" s="10">
        <f>$D14+SUMIF(Levers!$K$2:$K$15,"L44020",Levers!$M$2:$M$15)</f>
        <v/>
      </c>
      <c r="G14" s="10">
        <f>$D14+SUMIF(Levers!$K$2:$K$15,"L44020",Levers!$N$2:$N$15)</f>
        <v/>
      </c>
      <c r="H14" s="12">
        <f>F14-D14</f>
        <v/>
      </c>
      <c r="I14" s="6" t="inlineStr">
        <is>
          <t>Plus escalator lever</t>
        </is>
      </c>
    </row>
    <row r="15">
      <c r="A15" s="2" t="inlineStr">
        <is>
          <t>New rental income (only with a signed lease)</t>
        </is>
      </c>
      <c r="B15" s="17" t="n">
        <v>0</v>
      </c>
      <c r="C15" s="17" t="n">
        <v>0</v>
      </c>
      <c r="D15" s="17" t="n">
        <v>0</v>
      </c>
      <c r="E15" s="10">
        <f>0+SUMIF(Levers!$K$2:$K$15,"RENTNEW",Levers!$L$2:$L$15)</f>
        <v/>
      </c>
      <c r="F15" s="10">
        <f>0+SUMIF(Levers!$K$2:$K$15,"RENTNEW",Levers!$M$2:$M$15)</f>
        <v/>
      </c>
      <c r="G15" s="10">
        <f>0+SUMIF(Levers!$K$2:$K$15,"RENTNEW",Levers!$N$2:$N$15)</f>
        <v/>
      </c>
      <c r="H15" s="12">
        <f>F15-D15</f>
        <v/>
      </c>
      <c r="I15" s="6" t="inlineStr">
        <is>
          <t>Zero by default</t>
        </is>
      </c>
    </row>
    <row r="16">
      <c r="A16" s="2" t="inlineStr">
        <is>
          <t>44030 - Walgreens % Proceeds</t>
        </is>
      </c>
      <c r="B16" s="17" t="n">
        <v>115802</v>
      </c>
      <c r="C16" s="17" t="n">
        <v>115384</v>
      </c>
      <c r="D16" s="17" t="n">
        <v>115384</v>
      </c>
      <c r="E16" s="12">
        <f>$D16</f>
        <v/>
      </c>
      <c r="F16" s="12">
        <f>$D16</f>
        <v/>
      </c>
      <c r="G16" s="12">
        <f>$D16</f>
        <v/>
      </c>
      <c r="H16" s="12">
        <f>F16-D16</f>
        <v/>
      </c>
    </row>
    <row r="17">
      <c r="A17" s="2" t="inlineStr">
        <is>
          <t>44010 - Misc. Income</t>
        </is>
      </c>
      <c r="B17" s="17" t="n">
        <v>1029.12</v>
      </c>
      <c r="C17" s="17" t="n">
        <v>1029.12</v>
      </c>
      <c r="D17" s="17" t="n">
        <v>1029.12</v>
      </c>
      <c r="E17" s="12">
        <f>$D17</f>
        <v/>
      </c>
      <c r="F17" s="12">
        <f>$D17</f>
        <v/>
      </c>
      <c r="G17" s="12">
        <f>$D17</f>
        <v/>
      </c>
      <c r="H17" s="12">
        <f>F17-D17</f>
        <v/>
      </c>
    </row>
    <row r="18">
      <c r="A18" s="2" t="inlineStr">
        <is>
          <t>44060 - Church Event Dinner Income</t>
        </is>
      </c>
      <c r="B18" s="17" t="n">
        <v>8909.77</v>
      </c>
      <c r="C18" s="17" t="n">
        <v>0</v>
      </c>
      <c r="D18" s="17" t="n">
        <v>0</v>
      </c>
      <c r="E18" s="12">
        <f>$D18</f>
        <v/>
      </c>
      <c r="F18" s="12">
        <f>$D18</f>
        <v/>
      </c>
      <c r="G18" s="12">
        <f>$D18</f>
        <v/>
      </c>
      <c r="H18" s="12">
        <f>F18-D18</f>
        <v/>
      </c>
    </row>
    <row r="19">
      <c r="A19" s="2" t="inlineStr">
        <is>
          <t>44250 - Online Fee Revenue</t>
        </is>
      </c>
      <c r="B19" s="17" t="n">
        <v>724.85</v>
      </c>
      <c r="C19" s="17" t="n">
        <v>2500</v>
      </c>
      <c r="D19" s="17" t="n">
        <v>2500</v>
      </c>
      <c r="E19" s="12">
        <f>$D19</f>
        <v/>
      </c>
      <c r="F19" s="12">
        <f>$D19</f>
        <v/>
      </c>
      <c r="G19" s="12">
        <f>$D19</f>
        <v/>
      </c>
      <c r="H19" s="12">
        <f>F19-D19</f>
        <v/>
      </c>
    </row>
    <row r="20">
      <c r="A20" s="2" t="inlineStr">
        <is>
          <t>48070 - Building Fund Income</t>
        </is>
      </c>
      <c r="B20" s="17" t="n">
        <v>7895.3</v>
      </c>
      <c r="C20" s="17" t="n">
        <v>0</v>
      </c>
      <c r="D20" s="17" t="n">
        <v>0</v>
      </c>
      <c r="E20" s="12">
        <f>$D20</f>
        <v/>
      </c>
      <c r="F20" s="12">
        <f>$D20</f>
        <v/>
      </c>
      <c r="G20" s="12">
        <f>$D20</f>
        <v/>
      </c>
      <c r="H20" s="12">
        <f>F20-D20</f>
        <v/>
      </c>
    </row>
    <row r="21">
      <c r="A21" s="2" t="inlineStr">
        <is>
          <t>Partner with SFUMC sponsorships (new)</t>
        </is>
      </c>
      <c r="B21" s="17" t="n">
        <v>0</v>
      </c>
      <c r="C21" s="17" t="n">
        <v>0</v>
      </c>
      <c r="D21" s="17" t="n">
        <v>0</v>
      </c>
      <c r="E21" s="10">
        <f>0+SUMIF(Levers!$K$2:$K$15,"SPONSOR",Levers!$L$2:$L$15)</f>
        <v/>
      </c>
      <c r="F21" s="10">
        <f>0+SUMIF(Levers!$K$2:$K$15,"SPONSOR",Levers!$M$2:$M$15)</f>
        <v/>
      </c>
      <c r="G21" s="10">
        <f>0+SUMIF(Levers!$K$2:$K$15,"SPONSOR",Levers!$N$2:$N$15)</f>
        <v/>
      </c>
      <c r="H21" s="12">
        <f>F21-D21</f>
        <v/>
      </c>
      <c r="I21" s="6" t="inlineStr">
        <is>
          <t>Levers</t>
        </is>
      </c>
    </row>
    <row r="22">
      <c r="A22" s="2" t="inlineStr">
        <is>
          <t>Silent auction</t>
        </is>
      </c>
      <c r="B22" s="17" t="n">
        <v>0</v>
      </c>
      <c r="C22" s="17" t="n">
        <v>0</v>
      </c>
      <c r="D22" s="17" t="n">
        <v>1200</v>
      </c>
      <c r="E22" s="12">
        <f>$D22</f>
        <v/>
      </c>
      <c r="F22" s="12">
        <f>$D22</f>
        <v/>
      </c>
      <c r="G22" s="12">
        <f>$D22</f>
        <v/>
      </c>
      <c r="H22" s="12">
        <f>F22-D22</f>
        <v/>
      </c>
    </row>
    <row r="23">
      <c r="A23" s="2" t="inlineStr">
        <is>
          <t>Thrift store</t>
        </is>
      </c>
      <c r="B23" s="17" t="n">
        <v>0</v>
      </c>
      <c r="C23" s="17" t="n">
        <v>0</v>
      </c>
      <c r="D23" s="17" t="n">
        <v>12000</v>
      </c>
      <c r="E23" s="10">
        <f>Inputs!$B$8*Inputs!$B$9</f>
        <v/>
      </c>
      <c r="F23" s="10">
        <f>Inputs!$B$8*Inputs!$B$9</f>
        <v/>
      </c>
      <c r="G23" s="10">
        <f>Inputs!$B$8*Inputs!$B$9</f>
        <v/>
      </c>
      <c r="H23" s="12">
        <f>F23-D23</f>
        <v/>
      </c>
      <c r="I23" s="6" t="inlineStr">
        <is>
          <t>Counts only if Inputs says thrift is church income</t>
        </is>
      </c>
    </row>
    <row r="24">
      <c r="A24" s="2" t="inlineStr">
        <is>
          <t>Restricted/designated income (church)</t>
        </is>
      </c>
      <c r="B24" s="17" t="n">
        <v>243737.33</v>
      </c>
      <c r="C24" s="17" t="n">
        <v>0</v>
      </c>
      <c r="D24" s="17" t="n">
        <v>0</v>
      </c>
      <c r="E24" s="12">
        <f>$D24</f>
        <v/>
      </c>
      <c r="F24" s="12">
        <f>$D24</f>
        <v/>
      </c>
      <c r="G24" s="12">
        <f>$D24</f>
        <v/>
      </c>
      <c r="H24" s="12">
        <f>F24-D24</f>
        <v/>
      </c>
    </row>
    <row r="25">
      <c r="A25" s="18" t="inlineStr">
        <is>
          <t>Subtotal church revenue</t>
        </is>
      </c>
      <c r="B25" s="19">
        <f>SUM(B7:B24)</f>
        <v/>
      </c>
      <c r="C25" s="19">
        <f>SUM(C7:C24)</f>
        <v/>
      </c>
      <c r="D25" s="19">
        <f>SUM(D7:D24)</f>
        <v/>
      </c>
      <c r="E25" s="19">
        <f>SUM(E7:E24)</f>
        <v/>
      </c>
      <c r="F25" s="19">
        <f>SUM(F7:F24)</f>
        <v/>
      </c>
      <c r="G25" s="19">
        <f>SUM(G7:G24)</f>
        <v/>
      </c>
      <c r="H25" s="19">
        <f>SUM(H7:H24)</f>
        <v/>
      </c>
    </row>
    <row r="26"/>
    <row r="27">
      <c r="A27" s="3" t="inlineStr">
        <is>
          <t>Preschool income</t>
        </is>
      </c>
    </row>
    <row r="28">
      <c r="A28" s="2" t="inlineStr">
        <is>
          <t>49010 - Preschool Tuition</t>
        </is>
      </c>
      <c r="B28" s="17" t="n">
        <v>86518.09</v>
      </c>
      <c r="C28" s="17" t="n">
        <v>92000</v>
      </c>
      <c r="D28" s="17" t="n">
        <v>92000</v>
      </c>
      <c r="E28" s="10">
        <f>$D28+SUMIF(Levers!$K$2:$K$15,"L49010",Levers!$L$2:$L$15)</f>
        <v/>
      </c>
      <c r="F28" s="10">
        <f>$D28+SUMIF(Levers!$K$2:$K$15,"L49010",Levers!$M$2:$M$15)</f>
        <v/>
      </c>
      <c r="G28" s="10">
        <f>$D28+SUMIF(Levers!$K$2:$K$15,"L49010",Levers!$N$2:$N$15)</f>
        <v/>
      </c>
      <c r="H28" s="12">
        <f>F28-D28</f>
        <v/>
      </c>
      <c r="I28" s="6" t="inlineStr">
        <is>
          <t>Plus tuition lever</t>
        </is>
      </c>
    </row>
    <row r="29">
      <c r="A29" s="2" t="inlineStr">
        <is>
          <t>49020 - Preschool Registration Fees</t>
        </is>
      </c>
      <c r="B29" s="17" t="n">
        <v>12435</v>
      </c>
      <c r="C29" s="17" t="n">
        <v>9900</v>
      </c>
      <c r="D29" s="17" t="n">
        <v>9900</v>
      </c>
      <c r="E29" s="12">
        <f>$D29</f>
        <v/>
      </c>
      <c r="F29" s="12">
        <f>$D29</f>
        <v/>
      </c>
      <c r="G29" s="12">
        <f>$D29</f>
        <v/>
      </c>
      <c r="H29" s="12">
        <f>F29-D29</f>
        <v/>
      </c>
    </row>
    <row r="30">
      <c r="A30" s="2" t="inlineStr">
        <is>
          <t>49030 - Preschool Activity Fees</t>
        </is>
      </c>
      <c r="B30" s="17" t="n">
        <v>0</v>
      </c>
      <c r="C30" s="17" t="n">
        <v>0</v>
      </c>
      <c r="D30" s="17" t="n">
        <v>0</v>
      </c>
      <c r="E30" s="12">
        <f>$D30</f>
        <v/>
      </c>
      <c r="F30" s="12">
        <f>$D30</f>
        <v/>
      </c>
      <c r="G30" s="12">
        <f>$D30</f>
        <v/>
      </c>
      <c r="H30" s="12">
        <f>F30-D30</f>
        <v/>
      </c>
    </row>
    <row r="31">
      <c r="A31" s="2" t="inlineStr">
        <is>
          <t>49400- Preschool Interest Income</t>
        </is>
      </c>
      <c r="B31" s="17" t="n">
        <v>2.54</v>
      </c>
      <c r="C31" s="17" t="n">
        <v>2.54</v>
      </c>
      <c r="D31" s="17" t="n">
        <v>2.54</v>
      </c>
      <c r="E31" s="12">
        <f>$D31</f>
        <v/>
      </c>
      <c r="F31" s="12">
        <f>$D31</f>
        <v/>
      </c>
      <c r="G31" s="12">
        <f>$D31</f>
        <v/>
      </c>
      <c r="H31" s="12">
        <f>F31-D31</f>
        <v/>
      </c>
    </row>
    <row r="32">
      <c r="A32" s="2" t="inlineStr">
        <is>
          <t>49410 - Preschool Misc. Income</t>
        </is>
      </c>
      <c r="B32" s="17" t="n">
        <v>0</v>
      </c>
      <c r="C32" s="17" t="n">
        <v>0</v>
      </c>
      <c r="D32" s="17" t="n">
        <v>0</v>
      </c>
      <c r="E32" s="12">
        <f>$D32</f>
        <v/>
      </c>
      <c r="F32" s="12">
        <f>$D32</f>
        <v/>
      </c>
      <c r="G32" s="12">
        <f>$D32</f>
        <v/>
      </c>
      <c r="H32" s="12">
        <f>F32-D32</f>
        <v/>
      </c>
    </row>
    <row r="33">
      <c r="A33" s="2" t="inlineStr">
        <is>
          <t>Restricted/designated income (preschool)</t>
        </is>
      </c>
      <c r="B33" s="17" t="n">
        <v>6075.72</v>
      </c>
      <c r="C33" s="17" t="n">
        <v>3000</v>
      </c>
      <c r="D33" s="17" t="n">
        <v>3000</v>
      </c>
      <c r="E33" s="12">
        <f>$D33</f>
        <v/>
      </c>
      <c r="F33" s="12">
        <f>$D33</f>
        <v/>
      </c>
      <c r="G33" s="12">
        <f>$D33</f>
        <v/>
      </c>
      <c r="H33" s="12">
        <f>F33-D33</f>
        <v/>
      </c>
    </row>
    <row r="34">
      <c r="A34" s="18" t="inlineStr">
        <is>
          <t>Subtotal preschool revenue</t>
        </is>
      </c>
      <c r="B34" s="19">
        <f>SUM(B28:B33)</f>
        <v/>
      </c>
      <c r="C34" s="19">
        <f>SUM(C28:C33)</f>
        <v/>
      </c>
      <c r="D34" s="19">
        <f>SUM(D28:D33)</f>
        <v/>
      </c>
      <c r="E34" s="19">
        <f>SUM(E28:E33)</f>
        <v/>
      </c>
      <c r="F34" s="19">
        <f>SUM(F28:F33)</f>
        <v/>
      </c>
      <c r="G34" s="19">
        <f>SUM(G28:G33)</f>
        <v/>
      </c>
      <c r="H34" s="19">
        <f>SUM(H28:H33)</f>
        <v/>
      </c>
    </row>
    <row r="35"/>
    <row r="36">
      <c r="A36" s="20" t="inlineStr">
        <is>
          <t>TOTAL REVENUE</t>
        </is>
      </c>
      <c r="B36" s="21">
        <f>SUM(B25,B34)</f>
        <v/>
      </c>
      <c r="C36" s="21">
        <f>SUM(C25,C34)</f>
        <v/>
      </c>
      <c r="D36" s="21">
        <f>SUM(D25,D34)</f>
        <v/>
      </c>
      <c r="E36" s="21">
        <f>SUM(E25,E34)</f>
        <v/>
      </c>
      <c r="F36" s="21">
        <f>SUM(F25,F34)</f>
        <v/>
      </c>
      <c r="G36" s="21">
        <f>SUM(G25,G34)</f>
        <v/>
      </c>
      <c r="H36" s="21">
        <f>SUM(H25,H34)</f>
        <v/>
      </c>
    </row>
    <row r="37"/>
    <row r="38">
      <c r="A38" s="15" t="inlineStr">
        <is>
          <t>EXPENSES</t>
        </is>
      </c>
      <c r="B38" s="16" t="n"/>
      <c r="C38" s="16" t="n"/>
      <c r="D38" s="16" t="n"/>
      <c r="E38" s="16" t="n"/>
      <c r="F38" s="16" t="n"/>
      <c r="G38" s="16" t="n"/>
      <c r="H38" s="16" t="n"/>
      <c r="I38" s="16" t="n"/>
    </row>
    <row r="39">
      <c r="A39" s="3" t="inlineStr">
        <is>
          <t>Buildings and grounds</t>
        </is>
      </c>
    </row>
    <row r="40">
      <c r="A40" s="2" t="inlineStr">
        <is>
          <t>50500 - Grounds Maintenance</t>
        </is>
      </c>
      <c r="B40" s="17" t="n">
        <v>24996.52</v>
      </c>
      <c r="C40" s="17" t="n">
        <v>7000</v>
      </c>
      <c r="D40" s="17" t="n">
        <v>7000</v>
      </c>
      <c r="E40" s="12">
        <f>$D40</f>
        <v/>
      </c>
      <c r="F40" s="12">
        <f>$D40</f>
        <v/>
      </c>
      <c r="G40" s="12">
        <f>$D40</f>
        <v/>
      </c>
      <c r="H40" s="12">
        <f>F40-D40</f>
        <v/>
      </c>
    </row>
    <row r="41">
      <c r="A41" s="2" t="inlineStr">
        <is>
          <t>50600 - A/C Service &amp; Maint.</t>
        </is>
      </c>
      <c r="B41" s="17" t="n">
        <v>13058.84</v>
      </c>
      <c r="C41" s="17" t="n">
        <v>6000</v>
      </c>
      <c r="D41" s="17" t="n">
        <v>6000</v>
      </c>
      <c r="E41" s="12">
        <f>$D41</f>
        <v/>
      </c>
      <c r="F41" s="12">
        <f>$D41</f>
        <v/>
      </c>
      <c r="G41" s="12">
        <f>$D41</f>
        <v/>
      </c>
      <c r="H41" s="12">
        <f>F41-D41</f>
        <v/>
      </c>
    </row>
    <row r="42">
      <c r="A42" s="2" t="inlineStr">
        <is>
          <t>50635 - Pest Control Program</t>
        </is>
      </c>
      <c r="B42" s="17" t="n">
        <v>3232</v>
      </c>
      <c r="C42" s="17" t="n">
        <v>3500</v>
      </c>
      <c r="D42" s="17" t="n">
        <v>3500</v>
      </c>
      <c r="E42" s="12">
        <f>$D42</f>
        <v/>
      </c>
      <c r="F42" s="12">
        <f>$D42</f>
        <v/>
      </c>
      <c r="G42" s="12">
        <f>$D42</f>
        <v/>
      </c>
      <c r="H42" s="12">
        <f>F42-D42</f>
        <v/>
      </c>
    </row>
    <row r="43">
      <c r="A43" s="2" t="inlineStr">
        <is>
          <t>50640 - Equipment Maintenance/Replacement</t>
        </is>
      </c>
      <c r="B43" s="17" t="n">
        <v>0</v>
      </c>
      <c r="C43" s="17" t="n">
        <v>0</v>
      </c>
      <c r="D43" s="17" t="n">
        <v>0</v>
      </c>
      <c r="E43" s="12">
        <f>$D43</f>
        <v/>
      </c>
      <c r="F43" s="12">
        <f>$D43</f>
        <v/>
      </c>
      <c r="G43" s="12">
        <f>$D43</f>
        <v/>
      </c>
      <c r="H43" s="12">
        <f>F43-D43</f>
        <v/>
      </c>
    </row>
    <row r="44">
      <c r="A44" s="2" t="inlineStr">
        <is>
          <t>50655 - Cleaning Service</t>
        </is>
      </c>
      <c r="B44" s="17" t="n">
        <v>58924.16</v>
      </c>
      <c r="C44" s="17" t="n">
        <v>30000</v>
      </c>
      <c r="D44" s="17" t="n">
        <v>30000</v>
      </c>
      <c r="E44" s="12">
        <f>$D44</f>
        <v/>
      </c>
      <c r="F44" s="12">
        <f>$D44</f>
        <v/>
      </c>
      <c r="G44" s="12">
        <f>$D44</f>
        <v/>
      </c>
      <c r="H44" s="12">
        <f>F44-D44</f>
        <v/>
      </c>
    </row>
    <row r="45">
      <c r="A45" s="2" t="inlineStr">
        <is>
          <t>50660 - Building Maint.</t>
        </is>
      </c>
      <c r="B45" s="17" t="n">
        <v>47827.87</v>
      </c>
      <c r="C45" s="17" t="n">
        <v>33000</v>
      </c>
      <c r="D45" s="17" t="n">
        <v>33000</v>
      </c>
      <c r="E45" s="10">
        <f>$D45-SUMIF(Levers!$K$2:$K$15,"L50660",Levers!$L$2:$L$15)</f>
        <v/>
      </c>
      <c r="F45" s="10">
        <f>$D45-SUMIF(Levers!$K$2:$K$15,"L50660",Levers!$M$2:$M$15)</f>
        <v/>
      </c>
      <c r="G45" s="10">
        <f>$D45-SUMIF(Levers!$K$2:$K$15,"L50660",Levers!$N$2:$N$15)</f>
        <v/>
      </c>
      <c r="H45" s="12">
        <f>F45-D45</f>
        <v/>
      </c>
      <c r="I45" s="6" t="inlineStr">
        <is>
          <t>Less Reed Building lever</t>
        </is>
      </c>
    </row>
    <row r="46">
      <c r="A46" s="2" t="inlineStr">
        <is>
          <t>50665 - Vehicle Maintenance</t>
        </is>
      </c>
      <c r="B46" s="17" t="n">
        <v>9942.629999999999</v>
      </c>
      <c r="C46" s="17" t="n">
        <v>6000</v>
      </c>
      <c r="D46" s="17" t="n">
        <v>6000</v>
      </c>
      <c r="E46" s="10">
        <f>$D46-SUMIF(Levers!$K$2:$K$15,"L50665",Levers!$L$2:$L$15)</f>
        <v/>
      </c>
      <c r="F46" s="10">
        <f>$D46-SUMIF(Levers!$K$2:$K$15,"L50665",Levers!$M$2:$M$15)</f>
        <v/>
      </c>
      <c r="G46" s="10">
        <f>$D46-SUMIF(Levers!$K$2:$K$15,"L50665",Levers!$N$2:$N$15)</f>
        <v/>
      </c>
      <c r="H46" s="12">
        <f>F46-D46</f>
        <v/>
      </c>
      <c r="I46" s="6" t="inlineStr">
        <is>
          <t>Less bus lever</t>
        </is>
      </c>
    </row>
    <row r="47">
      <c r="A47" s="2" t="inlineStr">
        <is>
          <t>56061 - Campus Audio/Video/Lighting</t>
        </is>
      </c>
      <c r="B47" s="17" t="n">
        <v>1456.05</v>
      </c>
      <c r="C47" s="17" t="n">
        <v>1500</v>
      </c>
      <c r="D47" s="17" t="n">
        <v>1500</v>
      </c>
      <c r="E47" s="12">
        <f>$D47</f>
        <v/>
      </c>
      <c r="F47" s="12">
        <f>$D47</f>
        <v/>
      </c>
      <c r="G47" s="12">
        <f>$D47</f>
        <v/>
      </c>
      <c r="H47" s="12">
        <f>F47-D47</f>
        <v/>
      </c>
    </row>
    <row r="48">
      <c r="A48" s="2" t="inlineStr">
        <is>
          <t>50671 - Security Guards</t>
        </is>
      </c>
      <c r="B48" s="17" t="n">
        <v>16386.08</v>
      </c>
      <c r="C48" s="17" t="n">
        <v>17500</v>
      </c>
      <c r="D48" s="17" t="n">
        <v>17500</v>
      </c>
      <c r="E48" s="12">
        <f>$D48</f>
        <v/>
      </c>
      <c r="F48" s="12">
        <f>$D48</f>
        <v/>
      </c>
      <c r="G48" s="12">
        <f>$D48</f>
        <v/>
      </c>
      <c r="H48" s="12">
        <f>F48-D48</f>
        <v/>
      </c>
    </row>
    <row r="49">
      <c r="A49" s="2" t="inlineStr">
        <is>
          <t>Maintenance true-up (new)</t>
        </is>
      </c>
      <c r="B49" s="17" t="n">
        <v>0</v>
      </c>
      <c r="C49" s="17" t="n">
        <v>0</v>
      </c>
      <c r="D49" s="17" t="n">
        <v>0</v>
      </c>
      <c r="E49" s="10">
        <f>Inputs!$B$13</f>
        <v/>
      </c>
      <c r="F49" s="10">
        <f>Inputs!$B$13</f>
        <v/>
      </c>
      <c r="G49" s="10">
        <f>Inputs!$B$13</f>
        <v/>
      </c>
      <c r="H49" s="12">
        <f>F49-D49</f>
        <v/>
      </c>
      <c r="I49" s="6" t="inlineStr">
        <is>
          <t>Keeps routine repairs off reserves (Inputs)</t>
        </is>
      </c>
    </row>
    <row r="50">
      <c r="A50" s="22" t="inlineStr">
        <is>
          <t>Total buildings and grounds</t>
        </is>
      </c>
      <c r="B50" s="23">
        <f>SUM(B40:B49)</f>
        <v/>
      </c>
      <c r="C50" s="23">
        <f>SUM(C40:C49)</f>
        <v/>
      </c>
      <c r="D50" s="23">
        <f>SUM(D40:D49)</f>
        <v/>
      </c>
      <c r="E50" s="23">
        <f>SUM(E40:E49)</f>
        <v/>
      </c>
      <c r="F50" s="23">
        <f>SUM(F40:F49)</f>
        <v/>
      </c>
      <c r="G50" s="23">
        <f>SUM(G40:G49)</f>
        <v/>
      </c>
      <c r="H50" s="23">
        <f>SUM(H40:H49)</f>
        <v/>
      </c>
    </row>
    <row r="51"/>
    <row r="52">
      <c r="A52" s="3" t="inlineStr">
        <is>
          <t>Utilities</t>
        </is>
      </c>
    </row>
    <row r="53">
      <c r="A53" s="2" t="inlineStr">
        <is>
          <t>50300 - Utilities-Electricity</t>
        </is>
      </c>
      <c r="B53" s="17" t="n">
        <v>61459.74</v>
      </c>
      <c r="C53" s="17" t="n">
        <v>61750</v>
      </c>
      <c r="D53" s="17" t="n">
        <v>61750</v>
      </c>
      <c r="E53" s="10">
        <f>$D53-SUMIF(Levers!$K$2:$K$15,"L50300",Levers!$L$2:$L$15)</f>
        <v/>
      </c>
      <c r="F53" s="10">
        <f>$D53-SUMIF(Levers!$K$2:$K$15,"L50300",Levers!$M$2:$M$15)</f>
        <v/>
      </c>
      <c r="G53" s="10">
        <f>$D53-SUMIF(Levers!$K$2:$K$15,"L50300",Levers!$N$2:$N$15)</f>
        <v/>
      </c>
      <c r="H53" s="12">
        <f>F53-D53</f>
        <v/>
      </c>
      <c r="I53" s="6" t="inlineStr">
        <is>
          <t>Less electricity lever</t>
        </is>
      </c>
    </row>
    <row r="54">
      <c r="A54" s="2" t="inlineStr">
        <is>
          <t>50301 - Utilities-Gas</t>
        </is>
      </c>
      <c r="B54" s="17" t="n">
        <v>2335.75</v>
      </c>
      <c r="C54" s="17" t="n">
        <v>2500</v>
      </c>
      <c r="D54" s="17" t="n">
        <v>2500</v>
      </c>
      <c r="E54" s="12">
        <f>$D54</f>
        <v/>
      </c>
      <c r="F54" s="12">
        <f>$D54</f>
        <v/>
      </c>
      <c r="G54" s="12">
        <f>$D54</f>
        <v/>
      </c>
      <c r="H54" s="12">
        <f>F54-D54</f>
        <v/>
      </c>
    </row>
    <row r="55">
      <c r="A55" s="2" t="inlineStr">
        <is>
          <t>50302 - Utilities-Water &amp; Sewer</t>
        </is>
      </c>
      <c r="B55" s="17" t="n">
        <v>5520.59</v>
      </c>
      <c r="C55" s="17" t="n">
        <v>5500</v>
      </c>
      <c r="D55" s="17" t="n">
        <v>5500</v>
      </c>
      <c r="E55" s="12">
        <f>$D55</f>
        <v/>
      </c>
      <c r="F55" s="12">
        <f>$D55</f>
        <v/>
      </c>
      <c r="G55" s="12">
        <f>$D55</f>
        <v/>
      </c>
      <c r="H55" s="12">
        <f>F55-D55</f>
        <v/>
      </c>
    </row>
    <row r="56">
      <c r="A56" s="2" t="inlineStr">
        <is>
          <t>50304 - Utilities-Garbage Service</t>
        </is>
      </c>
      <c r="B56" s="17" t="n">
        <v>3795</v>
      </c>
      <c r="C56" s="17" t="n">
        <v>3750</v>
      </c>
      <c r="D56" s="17" t="n">
        <v>3750</v>
      </c>
      <c r="E56" s="12">
        <f>$D56</f>
        <v/>
      </c>
      <c r="F56" s="12">
        <f>$D56</f>
        <v/>
      </c>
      <c r="G56" s="12">
        <f>$D56</f>
        <v/>
      </c>
      <c r="H56" s="12">
        <f>F56-D56</f>
        <v/>
      </c>
    </row>
    <row r="57">
      <c r="A57" s="22" t="inlineStr">
        <is>
          <t>Total utilities</t>
        </is>
      </c>
      <c r="B57" s="23">
        <f>SUM(B53:B56)</f>
        <v/>
      </c>
      <c r="C57" s="23">
        <f>SUM(C53:C56)</f>
        <v/>
      </c>
      <c r="D57" s="23">
        <f>SUM(D53:D56)</f>
        <v/>
      </c>
      <c r="E57" s="23">
        <f>SUM(E53:E56)</f>
        <v/>
      </c>
      <c r="F57" s="23">
        <f>SUM(F53:F56)</f>
        <v/>
      </c>
      <c r="G57" s="23">
        <f>SUM(G53:G56)</f>
        <v/>
      </c>
      <c r="H57" s="23">
        <f>SUM(H53:H56)</f>
        <v/>
      </c>
    </row>
    <row r="58"/>
    <row r="59">
      <c r="A59" s="3" t="inlineStr">
        <is>
          <t>Insurance</t>
        </is>
      </c>
    </row>
    <row r="60">
      <c r="A60" s="2" t="inlineStr">
        <is>
          <t>50400 - Property Insurance</t>
        </is>
      </c>
      <c r="B60" s="17" t="n">
        <v>209571.5</v>
      </c>
      <c r="C60" s="17" t="n">
        <v>152000</v>
      </c>
      <c r="D60" s="17" t="n">
        <v>152000</v>
      </c>
      <c r="E60" s="10">
        <f>$D60-SUMIF(Levers!$K$2:$K$15,"L50400",Levers!$L$2:$L$15)</f>
        <v/>
      </c>
      <c r="F60" s="10">
        <f>$D60-SUMIF(Levers!$K$2:$K$15,"L50400",Levers!$M$2:$M$15)</f>
        <v/>
      </c>
      <c r="G60" s="10">
        <f>$D60-SUMIF(Levers!$K$2:$K$15,"L50400",Levers!$N$2:$N$15)</f>
        <v/>
      </c>
      <c r="H60" s="12">
        <f>F60-D60</f>
        <v/>
      </c>
      <c r="I60" s="6" t="inlineStr">
        <is>
          <t>Held at the proposed $152,000. No rebid (Woods). Any renewal decrease is upside</t>
        </is>
      </c>
    </row>
    <row r="61">
      <c r="A61" s="2" t="inlineStr">
        <is>
          <t>50401 - Workers Compensation</t>
        </is>
      </c>
      <c r="B61" s="17" t="n">
        <v>2635.32</v>
      </c>
      <c r="C61" s="17" t="n">
        <v>2330</v>
      </c>
      <c r="D61" s="17" t="n">
        <v>2330</v>
      </c>
      <c r="E61" s="12">
        <f>$D61</f>
        <v/>
      </c>
      <c r="F61" s="12">
        <f>$D61</f>
        <v/>
      </c>
      <c r="G61" s="12">
        <f>$D61</f>
        <v/>
      </c>
      <c r="H61" s="12">
        <f>F61-D61</f>
        <v/>
      </c>
    </row>
    <row r="62">
      <c r="A62" s="22" t="inlineStr">
        <is>
          <t>Total insurance</t>
        </is>
      </c>
      <c r="B62" s="23">
        <f>SUM(B60:B61)</f>
        <v/>
      </c>
      <c r="C62" s="23">
        <f>SUM(C60:C61)</f>
        <v/>
      </c>
      <c r="D62" s="23">
        <f>SUM(D60:D61)</f>
        <v/>
      </c>
      <c r="E62" s="23">
        <f>SUM(E60:E61)</f>
        <v/>
      </c>
      <c r="F62" s="23">
        <f>SUM(F60:F61)</f>
        <v/>
      </c>
      <c r="G62" s="23">
        <f>SUM(G60:G61)</f>
        <v/>
      </c>
      <c r="H62" s="23">
        <f>SUM(H60:H61)</f>
        <v/>
      </c>
    </row>
    <row r="63"/>
    <row r="64">
      <c r="A64" s="3" t="inlineStr">
        <is>
          <t>Office</t>
        </is>
      </c>
    </row>
    <row r="65">
      <c r="A65" s="2" t="inlineStr">
        <is>
          <t>52001 - Accounting/Legal Expense</t>
        </is>
      </c>
      <c r="B65" s="17" t="n">
        <v>2170.59</v>
      </c>
      <c r="C65" s="17" t="n">
        <v>0</v>
      </c>
      <c r="D65" s="17" t="n">
        <v>0</v>
      </c>
      <c r="E65" s="12">
        <f>$D65</f>
        <v/>
      </c>
      <c r="F65" s="12">
        <f>$D65</f>
        <v/>
      </c>
      <c r="G65" s="12">
        <f>$D65</f>
        <v/>
      </c>
      <c r="H65" s="12">
        <f>F65-D65</f>
        <v/>
      </c>
    </row>
    <row r="66">
      <c r="A66" s="2" t="inlineStr">
        <is>
          <t>52002 - Bank Fees</t>
        </is>
      </c>
      <c r="B66" s="17" t="n">
        <v>66.5</v>
      </c>
      <c r="C66" s="17" t="n">
        <v>75</v>
      </c>
      <c r="D66" s="17" t="n">
        <v>75</v>
      </c>
      <c r="E66" s="12">
        <f>$D66</f>
        <v/>
      </c>
      <c r="F66" s="12">
        <f>$D66</f>
        <v/>
      </c>
      <c r="G66" s="12">
        <f>$D66</f>
        <v/>
      </c>
      <c r="H66" s="12">
        <f>F66-D66</f>
        <v/>
      </c>
    </row>
    <row r="67">
      <c r="A67" s="2" t="inlineStr">
        <is>
          <t>52003 - Online Merchant Fees</t>
        </is>
      </c>
      <c r="B67" s="17" t="n">
        <v>3603.25</v>
      </c>
      <c r="C67" s="17" t="n">
        <v>3750</v>
      </c>
      <c r="D67" s="17" t="n">
        <v>3750</v>
      </c>
      <c r="E67" s="12">
        <f>$D67</f>
        <v/>
      </c>
      <c r="F67" s="12">
        <f>$D67</f>
        <v/>
      </c>
      <c r="G67" s="12">
        <f>$D67</f>
        <v/>
      </c>
      <c r="H67" s="12">
        <f>F67-D67</f>
        <v/>
      </c>
    </row>
    <row r="68">
      <c r="A68" s="2" t="inlineStr">
        <is>
          <t>52007 - Computer Supplies</t>
        </is>
      </c>
      <c r="B68" s="17" t="n">
        <v>2736.15</v>
      </c>
      <c r="C68" s="17" t="n">
        <v>3000</v>
      </c>
      <c r="D68" s="17" t="n">
        <v>3000</v>
      </c>
      <c r="E68" s="12">
        <f>$D68</f>
        <v/>
      </c>
      <c r="F68" s="12">
        <f>$D68</f>
        <v/>
      </c>
      <c r="G68" s="12">
        <f>$D68</f>
        <v/>
      </c>
      <c r="H68" s="12">
        <f>F68-D68</f>
        <v/>
      </c>
    </row>
    <row r="69">
      <c r="A69" s="2" t="inlineStr">
        <is>
          <t>52008 - Equipment Lease/Maintenance</t>
        </is>
      </c>
      <c r="B69" s="17" t="n">
        <v>18269.12</v>
      </c>
      <c r="C69" s="17" t="n">
        <v>18500</v>
      </c>
      <c r="D69" s="17" t="n">
        <v>18500</v>
      </c>
      <c r="E69" s="10">
        <f>$D69-SUMIF(Levers!$K$2:$K$15,"L52008",Levers!$L$2:$L$15)</f>
        <v/>
      </c>
      <c r="F69" s="10">
        <f>$D69-SUMIF(Levers!$K$2:$K$15,"L52008",Levers!$M$2:$M$15)</f>
        <v/>
      </c>
      <c r="G69" s="10">
        <f>$D69-SUMIF(Levers!$K$2:$K$15,"L52008",Levers!$N$2:$N$15)</f>
        <v/>
      </c>
      <c r="H69" s="12">
        <f>F69-D69</f>
        <v/>
      </c>
      <c r="I69" s="6" t="inlineStr">
        <is>
          <t>Less lease review lever</t>
        </is>
      </c>
    </row>
    <row r="70">
      <c r="A70" s="2" t="inlineStr">
        <is>
          <t>52009 - Software Support/Training</t>
        </is>
      </c>
      <c r="B70" s="17" t="n">
        <v>6073.44</v>
      </c>
      <c r="C70" s="17" t="n">
        <v>6325</v>
      </c>
      <c r="D70" s="17" t="n">
        <v>6325</v>
      </c>
      <c r="E70" s="12">
        <f>$D70</f>
        <v/>
      </c>
      <c r="F70" s="12">
        <f>$D70</f>
        <v/>
      </c>
      <c r="G70" s="12">
        <f>$D70</f>
        <v/>
      </c>
      <c r="H70" s="12">
        <f>F70-D70</f>
        <v/>
      </c>
    </row>
    <row r="71">
      <c r="A71" s="2" t="inlineStr">
        <is>
          <t>52015 - Dues &amp; Subscriptions</t>
        </is>
      </c>
      <c r="B71" s="17" t="n">
        <v>1131.83</v>
      </c>
      <c r="C71" s="17" t="n">
        <v>1150</v>
      </c>
      <c r="D71" s="17" t="n">
        <v>1150</v>
      </c>
      <c r="E71" s="12">
        <f>$D71</f>
        <v/>
      </c>
      <c r="F71" s="12">
        <f>$D71</f>
        <v/>
      </c>
      <c r="G71" s="12">
        <f>$D71</f>
        <v/>
      </c>
      <c r="H71" s="12">
        <f>F71-D71</f>
        <v/>
      </c>
    </row>
    <row r="72">
      <c r="A72" s="2" t="inlineStr">
        <is>
          <t>52040 - Kitchen Supplies</t>
        </is>
      </c>
      <c r="B72" s="17" t="n">
        <v>1279.53</v>
      </c>
      <c r="C72" s="17" t="n">
        <v>1000</v>
      </c>
      <c r="D72" s="17" t="n">
        <v>1000</v>
      </c>
      <c r="E72" s="12">
        <f>$D72</f>
        <v/>
      </c>
      <c r="F72" s="12">
        <f>$D72</f>
        <v/>
      </c>
      <c r="G72" s="12">
        <f>$D72</f>
        <v/>
      </c>
      <c r="H72" s="12">
        <f>F72-D72</f>
        <v/>
      </c>
    </row>
    <row r="73">
      <c r="A73" s="2" t="inlineStr">
        <is>
          <t>52065 - Office Supplies</t>
        </is>
      </c>
      <c r="B73" s="17" t="n">
        <v>6695.92</v>
      </c>
      <c r="C73" s="17" t="n">
        <v>6500</v>
      </c>
      <c r="D73" s="17" t="n">
        <v>6500</v>
      </c>
      <c r="E73" s="12">
        <f>$D73</f>
        <v/>
      </c>
      <c r="F73" s="12">
        <f>$D73</f>
        <v/>
      </c>
      <c r="G73" s="12">
        <f>$D73</f>
        <v/>
      </c>
      <c r="H73" s="12">
        <f>F73-D73</f>
        <v/>
      </c>
    </row>
    <row r="74">
      <c r="A74" s="2" t="inlineStr">
        <is>
          <t>52070 - Postage/Postage Machine</t>
        </is>
      </c>
      <c r="B74" s="17" t="n">
        <v>3267.14</v>
      </c>
      <c r="C74" s="17" t="n">
        <v>3750</v>
      </c>
      <c r="D74" s="17" t="n">
        <v>3750</v>
      </c>
      <c r="E74" s="12">
        <f>$D74</f>
        <v/>
      </c>
      <c r="F74" s="12">
        <f>$D74</f>
        <v/>
      </c>
      <c r="G74" s="12">
        <f>$D74</f>
        <v/>
      </c>
      <c r="H74" s="12">
        <f>F74-D74</f>
        <v/>
      </c>
    </row>
    <row r="75">
      <c r="A75" s="2" t="inlineStr">
        <is>
          <t>52090 - Telephone</t>
        </is>
      </c>
      <c r="B75" s="17" t="n">
        <v>21643.59</v>
      </c>
      <c r="C75" s="17" t="n">
        <v>22000</v>
      </c>
      <c r="D75" s="17" t="n">
        <v>22000</v>
      </c>
      <c r="E75" s="10">
        <f>$D75-SUMIF(Levers!$K$2:$K$15,"L52090",Levers!$L$2:$L$15)</f>
        <v/>
      </c>
      <c r="F75" s="10">
        <f>$D75-SUMIF(Levers!$K$2:$K$15,"L52090",Levers!$M$2:$M$15)</f>
        <v/>
      </c>
      <c r="G75" s="10">
        <f>$D75-SUMIF(Levers!$K$2:$K$15,"L52090",Levers!$N$2:$N$15)</f>
        <v/>
      </c>
      <c r="H75" s="12">
        <f>F75-D75</f>
        <v/>
      </c>
      <c r="I75" s="6" t="inlineStr">
        <is>
          <t>Less telephone audit lever</t>
        </is>
      </c>
    </row>
    <row r="76">
      <c r="A76" s="2" t="inlineStr">
        <is>
          <t>56062 - Computer Maintenance</t>
        </is>
      </c>
      <c r="B76" s="17" t="n">
        <v>9390.75</v>
      </c>
      <c r="C76" s="17" t="n">
        <v>5000</v>
      </c>
      <c r="D76" s="17" t="n">
        <v>5000</v>
      </c>
      <c r="E76" s="12">
        <f>$D76</f>
        <v/>
      </c>
      <c r="F76" s="12">
        <f>$D76</f>
        <v/>
      </c>
      <c r="G76" s="12">
        <f>$D76</f>
        <v/>
      </c>
      <c r="H76" s="12">
        <f>F76-D76</f>
        <v/>
      </c>
    </row>
    <row r="77">
      <c r="A77" s="22" t="inlineStr">
        <is>
          <t>Total office</t>
        </is>
      </c>
      <c r="B77" s="23">
        <f>SUM(B65:B76)</f>
        <v/>
      </c>
      <c r="C77" s="23">
        <f>SUM(C65:C76)</f>
        <v/>
      </c>
      <c r="D77" s="23">
        <f>SUM(D65:D76)</f>
        <v/>
      </c>
      <c r="E77" s="23">
        <f>SUM(E65:E76)</f>
        <v/>
      </c>
      <c r="F77" s="23">
        <f>SUM(F65:F76)</f>
        <v/>
      </c>
      <c r="G77" s="23">
        <f>SUM(G65:G76)</f>
        <v/>
      </c>
      <c r="H77" s="23">
        <f>SUM(H65:H76)</f>
        <v/>
      </c>
    </row>
    <row r="78"/>
    <row r="79" ht="30" customHeight="1">
      <c r="A79" s="2" t="inlineStr">
        <is>
          <t>Lasting 2026 savings carried forward (lines to be identified)</t>
        </is>
      </c>
      <c r="B79" s="17" t="n">
        <v>0</v>
      </c>
      <c r="C79" s="17" t="n">
        <v>0</v>
      </c>
      <c r="D79" s="17" t="n">
        <v>0</v>
      </c>
      <c r="E79" s="10">
        <f>-MAX(0,Inputs!$B$11-Inputs!$B$12)*Summary!$C$7</f>
        <v/>
      </c>
      <c r="F79" s="10">
        <f>-MAX(0,Inputs!$B$11-Inputs!$B$12)*Summary!$D$7</f>
        <v/>
      </c>
      <c r="G79" s="10">
        <f>-MAX(0,Inputs!$B$11-Inputs!$B$12)*Summary!$E$7</f>
        <v/>
      </c>
      <c r="H79" s="12">
        <f>F79-D79</f>
        <v/>
      </c>
      <c r="I79" s="6" t="inlineStr">
        <is>
          <t>2026 underspend less the personnel cut already taken, times the lasting share on Summary. Move to real lines once Elisha identifies them</t>
        </is>
      </c>
    </row>
    <row r="80"/>
    <row r="81">
      <c r="A81" s="18" t="inlineStr">
        <is>
          <t>TOTAL OPERATING EXPENSES</t>
        </is>
      </c>
      <c r="B81" s="19">
        <f>SUM(B50,B57,B62,B77,B79)</f>
        <v/>
      </c>
      <c r="C81" s="19">
        <f>SUM(C50,C57,C62,C77,C79)</f>
        <v/>
      </c>
      <c r="D81" s="19">
        <f>SUM(D50,D57,D62,D77,D79)</f>
        <v/>
      </c>
      <c r="E81" s="19">
        <f>SUM(E50,E57,E62,E77,E79)</f>
        <v/>
      </c>
      <c r="F81" s="19">
        <f>SUM(F50,F57,F62,F77,F79)</f>
        <v/>
      </c>
      <c r="G81" s="19">
        <f>SUM(G50,G57,G62,G77,G79)</f>
        <v/>
      </c>
      <c r="H81" s="19">
        <f>SUM(H50,H57,H62,H77,H79)</f>
        <v/>
      </c>
    </row>
    <row r="82"/>
    <row r="83">
      <c r="A83" s="2" t="inlineStr">
        <is>
          <t>Personnel (single line in the budget file)</t>
        </is>
      </c>
      <c r="B83" s="17" t="n">
        <v>833035.73</v>
      </c>
      <c r="C83" s="17" t="n">
        <v>621133.47</v>
      </c>
      <c r="D83" s="17" t="n">
        <v>596307</v>
      </c>
      <c r="E83" s="12">
        <f>$D83</f>
        <v/>
      </c>
      <c r="F83" s="12">
        <f>$D83</f>
        <v/>
      </c>
      <c r="G83" s="12">
        <f>$D83</f>
        <v/>
      </c>
      <c r="H83" s="12">
        <f>F83-D83</f>
        <v/>
      </c>
      <c r="I83" s="6" t="inlineStr">
        <is>
          <t>No position detail in the budget file. Unchanged from the proposal in every scenario</t>
        </is>
      </c>
    </row>
    <row r="84"/>
    <row r="85">
      <c r="A85" s="3" t="inlineStr">
        <is>
          <t>Programs</t>
        </is>
      </c>
    </row>
    <row r="86">
      <c r="A86" s="3" t="inlineStr">
        <is>
          <t>Children's ministry</t>
        </is>
      </c>
    </row>
    <row r="87">
      <c r="A87" s="2" t="inlineStr">
        <is>
          <t>56013 - Children's Vacation Bible School</t>
        </is>
      </c>
      <c r="B87" s="17" t="n">
        <v>9115.49</v>
      </c>
      <c r="C87" s="17" t="n">
        <v>7500</v>
      </c>
      <c r="D87" s="17" t="n">
        <v>7500</v>
      </c>
      <c r="E87" s="12">
        <f>$D87</f>
        <v/>
      </c>
      <c r="F87" s="12">
        <f>$D87</f>
        <v/>
      </c>
      <c r="G87" s="12">
        <f>$D87</f>
        <v/>
      </c>
      <c r="H87" s="12">
        <f>F87-D87</f>
        <v/>
      </c>
    </row>
    <row r="88">
      <c r="A88" s="2" t="inlineStr">
        <is>
          <t>56017 - Children's Camp</t>
        </is>
      </c>
      <c r="B88" s="17" t="n">
        <v>1571.06</v>
      </c>
      <c r="C88" s="17" t="n">
        <v>1000</v>
      </c>
      <c r="D88" s="17" t="n">
        <v>1000</v>
      </c>
      <c r="E88" s="12">
        <f>$D88</f>
        <v/>
      </c>
      <c r="F88" s="12">
        <f>$D88</f>
        <v/>
      </c>
      <c r="G88" s="12">
        <f>$D88</f>
        <v/>
      </c>
      <c r="H88" s="12">
        <f>F88-D88</f>
        <v/>
      </c>
    </row>
    <row r="89">
      <c r="A89" s="2" t="inlineStr">
        <is>
          <t>56080 - Children's Events</t>
        </is>
      </c>
      <c r="B89" s="17" t="n">
        <v>2165.54</v>
      </c>
      <c r="C89" s="17" t="n">
        <v>2000</v>
      </c>
      <c r="D89" s="17" t="n">
        <v>2000</v>
      </c>
      <c r="E89" s="12">
        <f>$D89</f>
        <v/>
      </c>
      <c r="F89" s="12">
        <f>$D89</f>
        <v/>
      </c>
      <c r="G89" s="12">
        <f>$D89</f>
        <v/>
      </c>
      <c r="H89" s="12">
        <f>F89-D89</f>
        <v/>
      </c>
    </row>
    <row r="90">
      <c r="A90" s="2" t="inlineStr">
        <is>
          <t>56084 - Children's Administrative</t>
        </is>
      </c>
      <c r="B90" s="17" t="n">
        <v>4735.11</v>
      </c>
      <c r="C90" s="17" t="n">
        <v>3000</v>
      </c>
      <c r="D90" s="17" t="n">
        <v>3000</v>
      </c>
      <c r="E90" s="12">
        <f>$D90</f>
        <v/>
      </c>
      <c r="F90" s="12">
        <f>$D90</f>
        <v/>
      </c>
      <c r="G90" s="12">
        <f>$D90</f>
        <v/>
      </c>
      <c r="H90" s="12">
        <f>F90-D90</f>
        <v/>
      </c>
    </row>
    <row r="91">
      <c r="A91" s="2" t="inlineStr">
        <is>
          <t>56201 - Children's Confirmation</t>
        </is>
      </c>
      <c r="B91" s="17" t="n">
        <v>1166.08</v>
      </c>
      <c r="C91" s="17" t="n">
        <v>1000</v>
      </c>
      <c r="D91" s="17" t="n">
        <v>1000</v>
      </c>
      <c r="E91" s="12">
        <f>$D91</f>
        <v/>
      </c>
      <c r="F91" s="12">
        <f>$D91</f>
        <v/>
      </c>
      <c r="G91" s="12">
        <f>$D91</f>
        <v/>
      </c>
      <c r="H91" s="12">
        <f>F91-D91</f>
        <v/>
      </c>
    </row>
    <row r="92">
      <c r="A92" s="2" t="inlineStr">
        <is>
          <t>56232 - Children's Travel Expenses</t>
        </is>
      </c>
      <c r="B92" s="17" t="n">
        <v>1300</v>
      </c>
      <c r="C92" s="17" t="n">
        <v>500</v>
      </c>
      <c r="D92" s="17" t="n">
        <v>500</v>
      </c>
      <c r="E92" s="12">
        <f>$D92</f>
        <v/>
      </c>
      <c r="F92" s="12">
        <f>$D92</f>
        <v/>
      </c>
      <c r="G92" s="12">
        <f>$D92</f>
        <v/>
      </c>
      <c r="H92" s="12">
        <f>F92-D92</f>
        <v/>
      </c>
    </row>
    <row r="93">
      <c r="A93" s="2" t="inlineStr">
        <is>
          <t>56236 - Children's Curriculum</t>
        </is>
      </c>
      <c r="B93" s="17" t="n">
        <v>4706.02</v>
      </c>
      <c r="C93" s="17" t="n">
        <v>3000</v>
      </c>
      <c r="D93" s="17" t="n">
        <v>3000</v>
      </c>
      <c r="E93" s="12">
        <f>$D93</f>
        <v/>
      </c>
      <c r="F93" s="12">
        <f>$D93</f>
        <v/>
      </c>
      <c r="G93" s="12">
        <f>$D93</f>
        <v/>
      </c>
      <c r="H93" s="12">
        <f>F93-D93</f>
        <v/>
      </c>
    </row>
    <row r="94">
      <c r="A94" s="2" t="inlineStr">
        <is>
          <t>56085 - Children's Puppet Ministry</t>
        </is>
      </c>
      <c r="B94" s="17" t="n">
        <v>410.25</v>
      </c>
      <c r="C94" s="17" t="n">
        <v>500</v>
      </c>
      <c r="D94" s="17" t="n">
        <v>500</v>
      </c>
      <c r="E94" s="12">
        <f>$D94</f>
        <v/>
      </c>
      <c r="F94" s="12">
        <f>$D94</f>
        <v/>
      </c>
      <c r="G94" s="12">
        <f>$D94</f>
        <v/>
      </c>
      <c r="H94" s="12">
        <f>F94-D94</f>
        <v/>
      </c>
    </row>
    <row r="95">
      <c r="A95" s="22" t="inlineStr">
        <is>
          <t>Total children's ministry</t>
        </is>
      </c>
      <c r="B95" s="23">
        <f>SUM(B87:B94)</f>
        <v/>
      </c>
      <c r="C95" s="23">
        <f>SUM(C87:C94)</f>
        <v/>
      </c>
      <c r="D95" s="23">
        <f>SUM(D87:D94)</f>
        <v/>
      </c>
      <c r="E95" s="23">
        <f>SUM(E87:E94)</f>
        <v/>
      </c>
      <c r="F95" s="23">
        <f>SUM(F87:F94)</f>
        <v/>
      </c>
      <c r="G95" s="23">
        <f>SUM(G87:G94)</f>
        <v/>
      </c>
      <c r="H95" s="23">
        <f>SUM(H87:H94)</f>
        <v/>
      </c>
    </row>
    <row r="96"/>
    <row r="97">
      <c r="A97" s="3" t="inlineStr">
        <is>
          <t>Discipleship ministry</t>
        </is>
      </c>
    </row>
    <row r="98">
      <c r="A98" s="2" t="inlineStr">
        <is>
          <t>56001 - Curriculum</t>
        </is>
      </c>
      <c r="B98" s="17" t="n">
        <v>1747.67</v>
      </c>
      <c r="C98" s="17" t="n">
        <v>850</v>
      </c>
      <c r="D98" s="17" t="n">
        <v>850</v>
      </c>
      <c r="E98" s="12">
        <f>$D98</f>
        <v/>
      </c>
      <c r="F98" s="12">
        <f>$D98</f>
        <v/>
      </c>
      <c r="G98" s="12">
        <f>$D98</f>
        <v/>
      </c>
      <c r="H98" s="12">
        <f>F98-D98</f>
        <v/>
      </c>
    </row>
    <row r="99">
      <c r="A99" s="2" t="inlineStr">
        <is>
          <t>56115 - Advertising</t>
        </is>
      </c>
      <c r="B99" s="17" t="n">
        <v>394.14</v>
      </c>
      <c r="C99" s="17" t="n">
        <v>250</v>
      </c>
      <c r="D99" s="17" t="n">
        <v>250</v>
      </c>
      <c r="E99" s="12">
        <f>$D99</f>
        <v/>
      </c>
      <c r="F99" s="12">
        <f>$D99</f>
        <v/>
      </c>
      <c r="G99" s="12">
        <f>$D99</f>
        <v/>
      </c>
      <c r="H99" s="12">
        <f>F99-D99</f>
        <v/>
      </c>
    </row>
    <row r="100">
      <c r="A100" s="2" t="inlineStr">
        <is>
          <t>56200 - Evangelism Program</t>
        </is>
      </c>
      <c r="B100" s="17" t="n">
        <v>513.6900000000001</v>
      </c>
      <c r="C100" s="17" t="n">
        <v>500</v>
      </c>
      <c r="D100" s="17" t="n">
        <v>500</v>
      </c>
      <c r="E100" s="12">
        <f>$D100</f>
        <v/>
      </c>
      <c r="F100" s="12">
        <f>$D100</f>
        <v/>
      </c>
      <c r="G100" s="12">
        <f>$D100</f>
        <v/>
      </c>
      <c r="H100" s="12">
        <f>F100-D100</f>
        <v/>
      </c>
    </row>
    <row r="101">
      <c r="A101" s="2" t="inlineStr">
        <is>
          <t>56262 - Upper Room</t>
        </is>
      </c>
      <c r="B101" s="17" t="n">
        <v>1340.64</v>
      </c>
      <c r="C101" s="17" t="n">
        <v>1400</v>
      </c>
      <c r="D101" s="17" t="n">
        <v>1400</v>
      </c>
      <c r="E101" s="12">
        <f>$D101</f>
        <v/>
      </c>
      <c r="F101" s="12">
        <f>$D101</f>
        <v/>
      </c>
      <c r="G101" s="12">
        <f>$D101</f>
        <v/>
      </c>
      <c r="H101" s="12">
        <f>F101-D101</f>
        <v/>
      </c>
    </row>
    <row r="102">
      <c r="A102" s="22" t="inlineStr">
        <is>
          <t>Total discipleship ministry</t>
        </is>
      </c>
      <c r="B102" s="23">
        <f>SUM(B98:B101)</f>
        <v/>
      </c>
      <c r="C102" s="23">
        <f>SUM(C98:C101)</f>
        <v/>
      </c>
      <c r="D102" s="23">
        <f>SUM(D98:D101)</f>
        <v/>
      </c>
      <c r="E102" s="23">
        <f>SUM(E98:E101)</f>
        <v/>
      </c>
      <c r="F102" s="23">
        <f>SUM(F98:F101)</f>
        <v/>
      </c>
      <c r="G102" s="23">
        <f>SUM(G98:G101)</f>
        <v/>
      </c>
      <c r="H102" s="23">
        <f>SUM(H98:H101)</f>
        <v/>
      </c>
    </row>
    <row r="103"/>
    <row r="104">
      <c r="A104" s="3" t="inlineStr">
        <is>
          <t>Congregational life and care</t>
        </is>
      </c>
    </row>
    <row r="105">
      <c r="A105" s="2" t="inlineStr">
        <is>
          <t>56022 - Church Wide Events</t>
        </is>
      </c>
      <c r="B105" s="17" t="n">
        <v>4330.65</v>
      </c>
      <c r="C105" s="17" t="n">
        <v>4250</v>
      </c>
      <c r="D105" s="17" t="n">
        <v>4250</v>
      </c>
      <c r="E105" s="12">
        <f>$D105</f>
        <v/>
      </c>
      <c r="F105" s="12">
        <f>$D105</f>
        <v/>
      </c>
      <c r="G105" s="12">
        <f>$D105</f>
        <v/>
      </c>
      <c r="H105" s="12">
        <f>F105-D105</f>
        <v/>
      </c>
    </row>
    <row r="106">
      <c r="A106" s="2" t="inlineStr">
        <is>
          <t>56050 - Hospitality</t>
        </is>
      </c>
      <c r="B106" s="17" t="n">
        <v>2076.92</v>
      </c>
      <c r="C106" s="17" t="n">
        <v>2000</v>
      </c>
      <c r="D106" s="17" t="n">
        <v>2000</v>
      </c>
      <c r="E106" s="12">
        <f>$D106</f>
        <v/>
      </c>
      <c r="F106" s="12">
        <f>$D106</f>
        <v/>
      </c>
      <c r="G106" s="12">
        <f>$D106</f>
        <v/>
      </c>
      <c r="H106" s="12">
        <f>F106-D106</f>
        <v/>
      </c>
    </row>
    <row r="107">
      <c r="A107" s="2" t="inlineStr">
        <is>
          <t>56225 - Congregational Care</t>
        </is>
      </c>
      <c r="B107" s="17" t="n">
        <v>613.88</v>
      </c>
      <c r="C107" s="17" t="n">
        <v>1500</v>
      </c>
      <c r="D107" s="17" t="n">
        <v>1500</v>
      </c>
      <c r="E107" s="12">
        <f>$D107</f>
        <v/>
      </c>
      <c r="F107" s="12">
        <f>$D107</f>
        <v/>
      </c>
      <c r="G107" s="12">
        <f>$D107</f>
        <v/>
      </c>
      <c r="H107" s="12">
        <f>F107-D107</f>
        <v/>
      </c>
    </row>
    <row r="108">
      <c r="A108" s="2" t="inlineStr">
        <is>
          <t>52502 - Church Wide Dinner Expense</t>
        </is>
      </c>
      <c r="B108" s="17" t="n">
        <v>9512.620000000001</v>
      </c>
      <c r="C108" s="17" t="n">
        <v>0</v>
      </c>
      <c r="D108" s="17" t="n">
        <v>0</v>
      </c>
      <c r="E108" s="12">
        <f>$D108</f>
        <v/>
      </c>
      <c r="F108" s="12">
        <f>$D108</f>
        <v/>
      </c>
      <c r="G108" s="12">
        <f>$D108</f>
        <v/>
      </c>
      <c r="H108" s="12">
        <f>F108-D108</f>
        <v/>
      </c>
    </row>
    <row r="109">
      <c r="A109" s="2" t="inlineStr">
        <is>
          <t>56220 - Stewardship Program</t>
        </is>
      </c>
      <c r="B109" s="17" t="n">
        <v>0</v>
      </c>
      <c r="C109" s="17" t="n">
        <v>500</v>
      </c>
      <c r="D109" s="17" t="n">
        <v>500</v>
      </c>
      <c r="E109" s="12">
        <f>$D109</f>
        <v/>
      </c>
      <c r="F109" s="12">
        <f>$D109</f>
        <v/>
      </c>
      <c r="G109" s="12">
        <f>$D109</f>
        <v/>
      </c>
      <c r="H109" s="12">
        <f>F109-D109</f>
        <v/>
      </c>
    </row>
    <row r="110">
      <c r="A110" s="2" t="inlineStr">
        <is>
          <t>56250 - Men's Ministry</t>
        </is>
      </c>
      <c r="B110" s="17" t="n">
        <v>358.82</v>
      </c>
      <c r="C110" s="17" t="n">
        <v>500</v>
      </c>
      <c r="D110" s="17" t="n">
        <v>500</v>
      </c>
      <c r="E110" s="12">
        <f>$D110</f>
        <v/>
      </c>
      <c r="F110" s="12">
        <f>$D110</f>
        <v/>
      </c>
      <c r="G110" s="12">
        <f>$D110</f>
        <v/>
      </c>
      <c r="H110" s="12">
        <f>F110-D110</f>
        <v/>
      </c>
    </row>
    <row r="111">
      <c r="A111" s="2" t="inlineStr">
        <is>
          <t>56263- Senior Ministry -Prime Timers</t>
        </is>
      </c>
      <c r="B111" s="17" t="n">
        <v>3152.17</v>
      </c>
      <c r="C111" s="17" t="n">
        <v>1000</v>
      </c>
      <c r="D111" s="17" t="n">
        <v>1000</v>
      </c>
      <c r="E111" s="12">
        <f>$D111</f>
        <v/>
      </c>
      <c r="F111" s="12">
        <f>$D111</f>
        <v/>
      </c>
      <c r="G111" s="12">
        <f>$D111</f>
        <v/>
      </c>
      <c r="H111" s="12">
        <f>F111-D111</f>
        <v/>
      </c>
    </row>
    <row r="112">
      <c r="A112" s="22" t="inlineStr">
        <is>
          <t>Total congregational life and care</t>
        </is>
      </c>
      <c r="B112" s="23">
        <f>SUM(B105:B111)</f>
        <v/>
      </c>
      <c r="C112" s="23">
        <f>SUM(C105:C111)</f>
        <v/>
      </c>
      <c r="D112" s="23">
        <f>SUM(D105:D111)</f>
        <v/>
      </c>
      <c r="E112" s="23">
        <f>SUM(E105:E111)</f>
        <v/>
      </c>
      <c r="F112" s="23">
        <f>SUM(F105:F111)</f>
        <v/>
      </c>
      <c r="G112" s="23">
        <f>SUM(G105:G111)</f>
        <v/>
      </c>
      <c r="H112" s="23">
        <f>SUM(H105:H111)</f>
        <v/>
      </c>
    </row>
    <row r="113"/>
    <row r="114">
      <c r="A114" s="3" t="inlineStr">
        <is>
          <t>Missions</t>
        </is>
      </c>
    </row>
    <row r="115">
      <c r="A115" s="2" t="inlineStr">
        <is>
          <t>Missions (total; line detail TBD in the budget file)</t>
        </is>
      </c>
      <c r="B115" s="17" t="n">
        <v>60169.01</v>
      </c>
      <c r="C115" s="17" t="n">
        <v>40000</v>
      </c>
      <c r="D115" s="17" t="n">
        <v>40000</v>
      </c>
      <c r="E115" s="12">
        <f>$D115</f>
        <v/>
      </c>
      <c r="F115" s="12">
        <f>$D115</f>
        <v/>
      </c>
      <c r="G115" s="12">
        <f>$D115</f>
        <v/>
      </c>
      <c r="H115" s="12">
        <f>F115-D115</f>
        <v/>
      </c>
      <c r="I115" s="6" t="inlineStr">
        <is>
          <t>Not touched in any scenario</t>
        </is>
      </c>
    </row>
    <row r="116"/>
    <row r="117">
      <c r="A117" s="3" t="inlineStr">
        <is>
          <t>Conference apportionments</t>
        </is>
      </c>
    </row>
    <row r="118">
      <c r="A118" s="2" t="inlineStr">
        <is>
          <t>52101 - Conference Apportionments</t>
        </is>
      </c>
      <c r="B118" s="17" t="n">
        <v>112782</v>
      </c>
      <c r="C118" s="17" t="n">
        <v>71478</v>
      </c>
      <c r="D118" s="17" t="n">
        <v>71478</v>
      </c>
      <c r="E118" s="12">
        <f>$D118</f>
        <v/>
      </c>
      <c r="F118" s="12">
        <f>$D118</f>
        <v/>
      </c>
      <c r="G118" s="12">
        <f>$D118</f>
        <v/>
      </c>
      <c r="H118" s="12">
        <f>F118-D118</f>
        <v/>
      </c>
      <c r="I118" s="6" t="inlineStr">
        <is>
          <t>Confirm the 2027 figure with the conference</t>
        </is>
      </c>
    </row>
    <row r="119"/>
    <row r="120">
      <c r="A120" s="3" t="inlineStr">
        <is>
          <t>Youth ministry</t>
        </is>
      </c>
    </row>
    <row r="121">
      <c r="A121" s="2" t="inlineStr">
        <is>
          <t>56300 - Youth Fellowship/Food</t>
        </is>
      </c>
      <c r="B121" s="17" t="n">
        <v>3836.88</v>
      </c>
      <c r="C121" s="17" t="n">
        <v>2000</v>
      </c>
      <c r="D121" s="17" t="n">
        <v>2000</v>
      </c>
      <c r="E121" s="12">
        <f>$D121</f>
        <v/>
      </c>
      <c r="F121" s="12">
        <f>$D121</f>
        <v/>
      </c>
      <c r="G121" s="12">
        <f>$D121</f>
        <v/>
      </c>
      <c r="H121" s="12">
        <f>F121-D121</f>
        <v/>
      </c>
    </row>
    <row r="122">
      <c r="A122" s="2" t="inlineStr">
        <is>
          <t>56301 - Youth Curriculum</t>
        </is>
      </c>
      <c r="B122" s="17" t="n">
        <v>32.03</v>
      </c>
      <c r="C122" s="17" t="n">
        <v>0</v>
      </c>
      <c r="D122" s="17" t="n">
        <v>0</v>
      </c>
      <c r="E122" s="12">
        <f>$D122</f>
        <v/>
      </c>
      <c r="F122" s="12">
        <f>$D122</f>
        <v/>
      </c>
      <c r="G122" s="12">
        <f>$D122</f>
        <v/>
      </c>
      <c r="H122" s="12">
        <f>F122-D122</f>
        <v/>
      </c>
    </row>
    <row r="123">
      <c r="A123" s="2" t="inlineStr">
        <is>
          <t>56302 - Youth Transportation</t>
        </is>
      </c>
      <c r="B123" s="17" t="n">
        <v>0</v>
      </c>
      <c r="C123" s="17" t="n">
        <v>0</v>
      </c>
      <c r="D123" s="17" t="n">
        <v>0</v>
      </c>
      <c r="E123" s="12">
        <f>$D123</f>
        <v/>
      </c>
      <c r="F123" s="12">
        <f>$D123</f>
        <v/>
      </c>
      <c r="G123" s="12">
        <f>$D123</f>
        <v/>
      </c>
      <c r="H123" s="12">
        <f>F123-D123</f>
        <v/>
      </c>
    </row>
    <row r="124">
      <c r="A124" s="2" t="inlineStr">
        <is>
          <t>56303 - Youth Camps/Retreats</t>
        </is>
      </c>
      <c r="B124" s="17" t="n">
        <v>19533.59</v>
      </c>
      <c r="C124" s="17" t="n">
        <v>10000</v>
      </c>
      <c r="D124" s="17" t="n">
        <v>10000</v>
      </c>
      <c r="E124" s="12">
        <f>$D124</f>
        <v/>
      </c>
      <c r="F124" s="12">
        <f>$D124</f>
        <v/>
      </c>
      <c r="G124" s="12">
        <f>$D124</f>
        <v/>
      </c>
      <c r="H124" s="12">
        <f>F124-D124</f>
        <v/>
      </c>
    </row>
    <row r="125">
      <c r="A125" s="2" t="inlineStr">
        <is>
          <t>56304 - Youth Events</t>
        </is>
      </c>
      <c r="B125" s="17" t="n">
        <v>4760.22</v>
      </c>
      <c r="C125" s="17" t="n">
        <v>1000</v>
      </c>
      <c r="D125" s="17" t="n">
        <v>1000</v>
      </c>
      <c r="E125" s="12">
        <f>$D125</f>
        <v/>
      </c>
      <c r="F125" s="12">
        <f>$D125</f>
        <v/>
      </c>
      <c r="G125" s="12">
        <f>$D125</f>
        <v/>
      </c>
      <c r="H125" s="12">
        <f>F125-D125</f>
        <v/>
      </c>
    </row>
    <row r="126">
      <c r="A126" s="2" t="inlineStr">
        <is>
          <t>56305 - Youth Administrative</t>
        </is>
      </c>
      <c r="B126" s="17" t="n">
        <v>8632.49</v>
      </c>
      <c r="C126" s="17" t="n">
        <v>5000</v>
      </c>
      <c r="D126" s="17" t="n">
        <v>5000</v>
      </c>
      <c r="E126" s="12">
        <f>$D126</f>
        <v/>
      </c>
      <c r="F126" s="12">
        <f>$D126</f>
        <v/>
      </c>
      <c r="G126" s="12">
        <f>$D126</f>
        <v/>
      </c>
      <c r="H126" s="12">
        <f>F126-D126</f>
        <v/>
      </c>
    </row>
    <row r="127">
      <c r="A127" s="22" t="inlineStr">
        <is>
          <t>Total youth ministry</t>
        </is>
      </c>
      <c r="B127" s="23">
        <f>SUM(B121:B126)</f>
        <v/>
      </c>
      <c r="C127" s="23">
        <f>SUM(C121:C126)</f>
        <v/>
      </c>
      <c r="D127" s="23">
        <f>SUM(D121:D126)</f>
        <v/>
      </c>
      <c r="E127" s="23">
        <f>SUM(E121:E126)</f>
        <v/>
      </c>
      <c r="F127" s="23">
        <f>SUM(F121:F126)</f>
        <v/>
      </c>
      <c r="G127" s="23">
        <f>SUM(G121:G126)</f>
        <v/>
      </c>
      <c r="H127" s="23">
        <f>SUM(H121:H126)</f>
        <v/>
      </c>
    </row>
    <row r="128"/>
    <row r="129">
      <c r="A129" s="3" t="inlineStr">
        <is>
          <t>Worship programs</t>
        </is>
      </c>
    </row>
    <row r="130">
      <c r="A130" s="2" t="inlineStr">
        <is>
          <t>Worship programs (total; line detail TBD in the budget file)</t>
        </is>
      </c>
      <c r="B130" s="17" t="n">
        <v>12328.5</v>
      </c>
      <c r="C130" s="17" t="n">
        <v>11800</v>
      </c>
      <c r="D130" s="17" t="n">
        <v>11800</v>
      </c>
      <c r="E130" s="12">
        <f>$D130</f>
        <v/>
      </c>
      <c r="F130" s="12">
        <f>$D130</f>
        <v/>
      </c>
      <c r="G130" s="12">
        <f>$D130</f>
        <v/>
      </c>
      <c r="H130" s="12">
        <f>F130-D130</f>
        <v/>
      </c>
    </row>
    <row r="131"/>
    <row r="132">
      <c r="A132" s="18" t="inlineStr">
        <is>
          <t>TOTAL PROGRAM EXPENSES</t>
        </is>
      </c>
      <c r="B132" s="19">
        <f>SUM(B95,B102,B112,B115,B118,B127,B130)</f>
        <v/>
      </c>
      <c r="C132" s="19">
        <f>SUM(C95,C102,C112,C115,C118,C127,C130)</f>
        <v/>
      </c>
      <c r="D132" s="19">
        <f>SUM(D95,D102,D112,D115,D118,D127,D130)</f>
        <v/>
      </c>
      <c r="E132" s="19">
        <f>SUM(E95,E102,E112,E115,E118,E127,E130)</f>
        <v/>
      </c>
      <c r="F132" s="19">
        <f>SUM(F95,F102,F112,F115,F118,F127,F130)</f>
        <v/>
      </c>
      <c r="G132" s="19">
        <f>SUM(G95,G102,G112,G115,G118,G127,G130)</f>
        <v/>
      </c>
      <c r="H132" s="19">
        <f>SUM(H95,H102,H112,H115,H118,H127,H130)</f>
        <v/>
      </c>
    </row>
    <row r="133"/>
    <row r="134">
      <c r="A134" s="2" t="inlineStr">
        <is>
          <t>Restricted/designated expenses (church)</t>
        </is>
      </c>
      <c r="B134" s="17" t="n">
        <v>231368.64</v>
      </c>
      <c r="C134" s="17" t="n">
        <v>0</v>
      </c>
      <c r="D134" s="17" t="n">
        <v>0</v>
      </c>
      <c r="E134" s="12">
        <f>$D134</f>
        <v/>
      </c>
      <c r="F134" s="12">
        <f>$D134</f>
        <v/>
      </c>
      <c r="G134" s="12">
        <f>$D134</f>
        <v/>
      </c>
      <c r="H134" s="12">
        <f>F134-D134</f>
        <v/>
      </c>
    </row>
    <row r="135"/>
    <row r="136">
      <c r="A136" s="3" t="inlineStr">
        <is>
          <t>Preschool expenses</t>
        </is>
      </c>
    </row>
    <row r="137">
      <c r="A137" s="2" t="inlineStr">
        <is>
          <t>79005 - Preschool Grounds Maint</t>
        </is>
      </c>
      <c r="B137" s="17" t="n">
        <v>16600</v>
      </c>
      <c r="C137" s="17" t="n">
        <v>500</v>
      </c>
      <c r="D137" s="17" t="n">
        <v>500</v>
      </c>
      <c r="E137" s="12">
        <f>$D137</f>
        <v/>
      </c>
      <c r="F137" s="12">
        <f>$D137</f>
        <v/>
      </c>
      <c r="G137" s="12">
        <f>$D137</f>
        <v/>
      </c>
      <c r="H137" s="12">
        <f>F137-D137</f>
        <v/>
      </c>
    </row>
    <row r="138">
      <c r="A138" s="2" t="inlineStr">
        <is>
          <t>79006 - Preschool Building Maint</t>
        </is>
      </c>
      <c r="B138" s="17" t="n">
        <v>1165.88</v>
      </c>
      <c r="C138" s="17" t="n">
        <v>500</v>
      </c>
      <c r="D138" s="17" t="n">
        <v>500</v>
      </c>
      <c r="E138" s="12">
        <f>$D138</f>
        <v/>
      </c>
      <c r="F138" s="12">
        <f>$D138</f>
        <v/>
      </c>
      <c r="G138" s="12">
        <f>$D138</f>
        <v/>
      </c>
      <c r="H138" s="12">
        <f>F138-D138</f>
        <v/>
      </c>
    </row>
    <row r="139">
      <c r="A139" s="2" t="inlineStr">
        <is>
          <t>79001 - Preschool Curriculum</t>
        </is>
      </c>
      <c r="B139" s="17" t="n">
        <v>558.6</v>
      </c>
      <c r="C139" s="17" t="n">
        <v>500</v>
      </c>
      <c r="D139" s="17" t="n">
        <v>500</v>
      </c>
      <c r="E139" s="12">
        <f>$D139</f>
        <v/>
      </c>
      <c r="F139" s="12">
        <f>$D139</f>
        <v/>
      </c>
      <c r="G139" s="12">
        <f>$D139</f>
        <v/>
      </c>
      <c r="H139" s="12">
        <f>F139-D139</f>
        <v/>
      </c>
    </row>
    <row r="140">
      <c r="A140" s="2" t="inlineStr">
        <is>
          <t>79002 - Preschool Pictures</t>
        </is>
      </c>
      <c r="B140" s="17" t="n">
        <v>45.2</v>
      </c>
      <c r="C140" s="17" t="n">
        <v>75</v>
      </c>
      <c r="D140" s="17" t="n">
        <v>75</v>
      </c>
      <c r="E140" s="12">
        <f>$D140</f>
        <v/>
      </c>
      <c r="F140" s="12">
        <f>$D140</f>
        <v/>
      </c>
      <c r="G140" s="12">
        <f>$D140</f>
        <v/>
      </c>
      <c r="H140" s="12">
        <f>F140-D140</f>
        <v/>
      </c>
    </row>
    <row r="141">
      <c r="A141" s="2" t="inlineStr">
        <is>
          <t>79202 - Preschool Bank Fees/Supplies</t>
        </is>
      </c>
      <c r="B141" s="17" t="n">
        <v>0</v>
      </c>
      <c r="C141" s="17" t="n">
        <v>100</v>
      </c>
      <c r="D141" s="17" t="n">
        <v>100</v>
      </c>
      <c r="E141" s="12">
        <f>$D141</f>
        <v/>
      </c>
      <c r="F141" s="12">
        <f>$D141</f>
        <v/>
      </c>
      <c r="G141" s="12">
        <f>$D141</f>
        <v/>
      </c>
      <c r="H141" s="12">
        <f>F141-D141</f>
        <v/>
      </c>
    </row>
    <row r="142">
      <c r="A142" s="2" t="inlineStr">
        <is>
          <t>79209 - Preschool Equipment/Furniture</t>
        </is>
      </c>
      <c r="B142" s="17" t="n">
        <v>642.08</v>
      </c>
      <c r="C142" s="17" t="n">
        <v>700</v>
      </c>
      <c r="D142" s="17" t="n">
        <v>700</v>
      </c>
      <c r="E142" s="12">
        <f>$D142</f>
        <v/>
      </c>
      <c r="F142" s="12">
        <f>$D142</f>
        <v/>
      </c>
      <c r="G142" s="12">
        <f>$D142</f>
        <v/>
      </c>
      <c r="H142" s="12">
        <f>F142-D142</f>
        <v/>
      </c>
    </row>
    <row r="143">
      <c r="A143" s="2" t="inlineStr">
        <is>
          <t>79210 - Preschool Equipment Maintenance</t>
        </is>
      </c>
      <c r="B143" s="17" t="n">
        <v>632.53</v>
      </c>
      <c r="C143" s="17" t="n">
        <v>700</v>
      </c>
      <c r="D143" s="17" t="n">
        <v>700</v>
      </c>
      <c r="E143" s="12">
        <f>$D143</f>
        <v/>
      </c>
      <c r="F143" s="12">
        <f>$D143</f>
        <v/>
      </c>
      <c r="G143" s="12">
        <f>$D143</f>
        <v/>
      </c>
      <c r="H143" s="12">
        <f>F143-D143</f>
        <v/>
      </c>
    </row>
    <row r="144">
      <c r="A144" s="2" t="inlineStr">
        <is>
          <t>79211 - Preschool Events</t>
        </is>
      </c>
      <c r="B144" s="17" t="n">
        <v>1232.43</v>
      </c>
      <c r="C144" s="17" t="n">
        <v>1500</v>
      </c>
      <c r="D144" s="17" t="n">
        <v>1500</v>
      </c>
      <c r="E144" s="12">
        <f>$D144</f>
        <v/>
      </c>
      <c r="F144" s="12">
        <f>$D144</f>
        <v/>
      </c>
      <c r="G144" s="12">
        <f>$D144</f>
        <v/>
      </c>
      <c r="H144" s="12">
        <f>F144-D144</f>
        <v/>
      </c>
    </row>
    <row r="145">
      <c r="A145" s="2" t="inlineStr">
        <is>
          <t>79212 - Preschool Advertising Costs</t>
        </is>
      </c>
      <c r="B145" s="17" t="n">
        <v>47.54</v>
      </c>
      <c r="C145" s="17" t="n">
        <v>0</v>
      </c>
      <c r="D145" s="17" t="n">
        <v>0</v>
      </c>
      <c r="E145" s="12">
        <f>$D145</f>
        <v/>
      </c>
      <c r="F145" s="12">
        <f>$D145</f>
        <v/>
      </c>
      <c r="G145" s="12">
        <f>$D145</f>
        <v/>
      </c>
      <c r="H145" s="12">
        <f>F145-D145</f>
        <v/>
      </c>
    </row>
    <row r="146">
      <c r="A146" s="2" t="inlineStr">
        <is>
          <t>79245 - Preschool General Supplies</t>
        </is>
      </c>
      <c r="B146" s="17" t="n">
        <v>2576.81</v>
      </c>
      <c r="C146" s="17" t="n">
        <v>2000</v>
      </c>
      <c r="D146" s="17" t="n">
        <v>2000</v>
      </c>
      <c r="E146" s="12">
        <f>$D146</f>
        <v/>
      </c>
      <c r="F146" s="12">
        <f>$D146</f>
        <v/>
      </c>
      <c r="G146" s="12">
        <f>$D146</f>
        <v/>
      </c>
      <c r="H146" s="12">
        <f>F146-D146</f>
        <v/>
      </c>
    </row>
    <row r="147">
      <c r="A147" s="2" t="inlineStr">
        <is>
          <t>79265 - Preschool Cleaning/Maint. Supplies</t>
        </is>
      </c>
      <c r="B147" s="17" t="n">
        <v>237.51</v>
      </c>
      <c r="C147" s="17" t="n">
        <v>400</v>
      </c>
      <c r="D147" s="17" t="n">
        <v>400</v>
      </c>
      <c r="E147" s="12">
        <f>$D147</f>
        <v/>
      </c>
      <c r="F147" s="12">
        <f>$D147</f>
        <v/>
      </c>
      <c r="G147" s="12">
        <f>$D147</f>
        <v/>
      </c>
      <c r="H147" s="12">
        <f>F147-D147</f>
        <v/>
      </c>
    </row>
    <row r="148">
      <c r="A148" s="2" t="inlineStr">
        <is>
          <t>79266 - Preschool - Rug/Floor Cleaning</t>
        </is>
      </c>
      <c r="B148" s="17" t="n">
        <v>1919.71</v>
      </c>
      <c r="C148" s="17" t="n">
        <v>1500</v>
      </c>
      <c r="D148" s="17" t="n">
        <v>1500</v>
      </c>
      <c r="E148" s="12">
        <f>$D148</f>
        <v/>
      </c>
      <c r="F148" s="12">
        <f>$D148</f>
        <v/>
      </c>
      <c r="G148" s="12">
        <f>$D148</f>
        <v/>
      </c>
      <c r="H148" s="12">
        <f>F148-D148</f>
        <v/>
      </c>
    </row>
    <row r="149">
      <c r="A149" s="2" t="inlineStr">
        <is>
          <t>79402 - Preschool Teacher Gifts</t>
        </is>
      </c>
      <c r="B149" s="17" t="n">
        <v>924.8200000000001</v>
      </c>
      <c r="C149" s="17" t="n">
        <v>1200</v>
      </c>
      <c r="D149" s="17" t="n">
        <v>1200</v>
      </c>
      <c r="E149" s="12">
        <f>$D149</f>
        <v/>
      </c>
      <c r="F149" s="12">
        <f>$D149</f>
        <v/>
      </c>
      <c r="G149" s="12">
        <f>$D149</f>
        <v/>
      </c>
      <c r="H149" s="12">
        <f>F149-D149</f>
        <v/>
      </c>
    </row>
    <row r="150">
      <c r="A150" s="2" t="inlineStr">
        <is>
          <t>79602 - Preschool Art/Activity Supplies</t>
        </is>
      </c>
      <c r="B150" s="17" t="n">
        <v>2408.6</v>
      </c>
      <c r="C150" s="17" t="n">
        <v>4000</v>
      </c>
      <c r="D150" s="17" t="n">
        <v>4000</v>
      </c>
      <c r="E150" s="12">
        <f>$D150</f>
        <v/>
      </c>
      <c r="F150" s="12">
        <f>$D150</f>
        <v/>
      </c>
      <c r="G150" s="12">
        <f>$D150</f>
        <v/>
      </c>
      <c r="H150" s="12">
        <f>F150-D150</f>
        <v/>
      </c>
    </row>
    <row r="151">
      <c r="A151" s="2" t="inlineStr">
        <is>
          <t>79215 - Preschool Dues/Subscriptions (Bright Wheel)</t>
        </is>
      </c>
      <c r="B151" s="17" t="n">
        <v>0</v>
      </c>
      <c r="C151" s="17" t="n">
        <v>759</v>
      </c>
      <c r="D151" s="17" t="n">
        <v>759</v>
      </c>
      <c r="E151" s="12">
        <f>$D151</f>
        <v/>
      </c>
      <c r="F151" s="12">
        <f>$D151</f>
        <v/>
      </c>
      <c r="G151" s="12">
        <f>$D151</f>
        <v/>
      </c>
      <c r="H151" s="12">
        <f>F151-D151</f>
        <v/>
      </c>
    </row>
    <row r="152">
      <c r="A152" s="2" t="inlineStr">
        <is>
          <t>79401 - Salary - Preschool Teachers</t>
        </is>
      </c>
      <c r="B152" s="17" t="n">
        <v>70582.46000000001</v>
      </c>
      <c r="C152" s="17" t="n">
        <v>77258.13</v>
      </c>
      <c r="D152" s="17" t="n">
        <v>77258.13</v>
      </c>
      <c r="E152" s="12">
        <f>$D152</f>
        <v/>
      </c>
      <c r="F152" s="12">
        <f>$D152</f>
        <v/>
      </c>
      <c r="G152" s="12">
        <f>$D152</f>
        <v/>
      </c>
      <c r="H152" s="12">
        <f>F152-D152</f>
        <v/>
      </c>
      <c r="I152" s="6" t="inlineStr">
        <is>
          <t>Teacher pay flat since 2025</t>
        </is>
      </c>
    </row>
    <row r="153">
      <c r="A153" s="2" t="inlineStr">
        <is>
          <t>Restricted/designated expenses (preschool)</t>
        </is>
      </c>
      <c r="B153" s="17" t="n">
        <v>1157.94</v>
      </c>
      <c r="C153" s="17" t="n">
        <v>0</v>
      </c>
      <c r="D153" s="17" t="n">
        <v>0</v>
      </c>
      <c r="E153" s="12">
        <f>$D153</f>
        <v/>
      </c>
      <c r="F153" s="12">
        <f>$D153</f>
        <v/>
      </c>
      <c r="G153" s="12">
        <f>$D153</f>
        <v/>
      </c>
      <c r="H153" s="12">
        <f>F153-D153</f>
        <v/>
      </c>
    </row>
    <row r="154">
      <c r="A154" s="18" t="inlineStr">
        <is>
          <t>TOTAL PRESCHOOL EXPENSES</t>
        </is>
      </c>
      <c r="B154" s="19">
        <f>SUM(B137:B153)</f>
        <v/>
      </c>
      <c r="C154" s="19">
        <f>SUM(C137:C153)</f>
        <v/>
      </c>
      <c r="D154" s="19">
        <f>SUM(D137:D153)</f>
        <v/>
      </c>
      <c r="E154" s="19">
        <f>SUM(E137:E153)</f>
        <v/>
      </c>
      <c r="F154" s="19">
        <f>SUM(F137:F153)</f>
        <v/>
      </c>
      <c r="G154" s="19">
        <f>SUM(G137:G153)</f>
        <v/>
      </c>
      <c r="H154" s="19">
        <f>SUM(H137:H153)</f>
        <v/>
      </c>
    </row>
    <row r="155"/>
    <row r="156">
      <c r="A156" s="20" t="inlineStr">
        <is>
          <t>TOTAL EXPENSES</t>
        </is>
      </c>
      <c r="B156" s="21">
        <f>SUM(B81,B83,B132,B134,B154)</f>
        <v/>
      </c>
      <c r="C156" s="21">
        <f>SUM(C81,C83,C132,C134,C154)</f>
        <v/>
      </c>
      <c r="D156" s="21">
        <f>SUM(D81,D83,D132,D134,D154)</f>
        <v/>
      </c>
      <c r="E156" s="21">
        <f>SUM(E81,E83,E132,E134,E154)</f>
        <v/>
      </c>
      <c r="F156" s="21">
        <f>SUM(F81,F83,F132,F134,F154)</f>
        <v/>
      </c>
      <c r="G156" s="21">
        <f>SUM(G81,G83,G132,G134,G154)</f>
        <v/>
      </c>
      <c r="H156" s="21">
        <f>SUM(H81,H83,H132,H134,H154)</f>
        <v/>
      </c>
    </row>
    <row r="157"/>
    <row r="158">
      <c r="A158" s="3" t="inlineStr">
        <is>
          <t>OPERATING RESULT (revenue less expenses)</t>
        </is>
      </c>
      <c r="B158" s="24">
        <f>B36-B156</f>
        <v/>
      </c>
      <c r="C158" s="24">
        <f>C36-C156</f>
        <v/>
      </c>
      <c r="D158" s="24">
        <f>D36-D156</f>
        <v/>
      </c>
      <c r="E158" s="24">
        <f>E36-E156</f>
        <v/>
      </c>
      <c r="F158" s="24">
        <f>F36-F156</f>
        <v/>
      </c>
      <c r="G158" s="24">
        <f>G36-G156</f>
        <v/>
      </c>
      <c r="H158" s="24">
        <f>H36-H156</f>
        <v/>
      </c>
    </row>
    <row r="159"/>
    <row r="160">
      <c r="A160" s="14" t="inlineStr">
        <is>
          <t>Check: 2027 Proposed matches the budget file (should be 0)</t>
        </is>
      </c>
      <c r="D160" s="25">
        <f>ROUND(D36-Inputs!$B$18,2)+ROUND(D156-Inputs!$B$19,2)</f>
        <v/>
      </c>
    </row>
    <row r="161">
      <c r="A161" s="14" t="inlineStr">
        <is>
          <t>Note: the budget file's own 2023 Actual total expenses ($1,702,606) leaves out program expenses ($270,875), so it shows a $4,181 surplus. This tab re-sums the lines, which gives the 2023 result shown above. Its 2023 children's subtotal also skips the puppet ministry line ($410).</t>
        </is>
      </c>
    </row>
  </sheetData>
  <pageMargins left="0.75" right="0.75" top="1" bottom="1" header="0.511811023622047" footer="0.511811023622047"/>
  <pageSetup orientation="portrait" paperSize="9" horizontalDpi="300" verticalDpi="300"/>
</worksheet>
</file>

<file path=xl/worksheets/sheet4.xml><?xml version="1.0" encoding="utf-8"?>
<worksheet xmlns="http://schemas.openxmlformats.org/spreadsheetml/2006/main">
  <sheetPr>
    <outlinePr summaryBelow="1" summaryRight="1"/>
    <pageSetUpPr/>
  </sheetPr>
  <dimension ref="A1:C19"/>
  <sheetViews>
    <sheetView zoomScaleNormal="100" workbookViewId="0">
      <selection activeCell="A1" sqref="A1"/>
    </sheetView>
  </sheetViews>
  <sheetFormatPr baseColWidth="10" defaultColWidth="8.6640625" defaultRowHeight="15"/>
  <cols>
    <col width="58" customWidth="1" min="1" max="1"/>
    <col width="16" customWidth="1" min="2" max="2"/>
    <col width="100" customWidth="1" min="3" max="3"/>
  </cols>
  <sheetData>
    <row r="1">
      <c r="A1" s="4" t="inlineStr">
        <is>
          <t>Input</t>
        </is>
      </c>
      <c r="B1" s="4" t="inlineStr">
        <is>
          <t>Value</t>
        </is>
      </c>
      <c r="C1" s="4" t="inlineStr">
        <is>
          <t>Source / note</t>
        </is>
      </c>
    </row>
    <row r="2">
      <c r="A2" s="26" t="inlineStr">
        <is>
          <t>GIVING</t>
        </is>
      </c>
      <c r="B2" s="27" t="n"/>
      <c r="C2" s="27" t="n"/>
    </row>
    <row r="3">
      <c r="A3" s="2" t="inlineStr">
        <is>
          <t>2026 identified giving to date</t>
        </is>
      </c>
      <c r="B3" s="10" t="n">
        <v>445747.2</v>
      </c>
      <c r="C3" s="28" t="inlineStr">
        <is>
          <t>Giving file ($445,747, matching the handoff)</t>
        </is>
      </c>
    </row>
    <row r="4">
      <c r="A4" s="2" t="inlineStr">
        <is>
          <t>Share of full year in by this date, 2025 pattern</t>
        </is>
      </c>
      <c r="B4" s="5" t="n">
        <v>0.622744532904652</v>
      </c>
      <c r="C4" s="28" t="inlineStr">
        <is>
          <t>Giving file: 2025_YTD / 2025_Full_Year</t>
        </is>
      </c>
    </row>
    <row r="5">
      <c r="A5" s="2" t="inlineStr">
        <is>
          <t>Share of full year in by this date, 2024 pattern</t>
        </is>
      </c>
      <c r="B5" s="5" t="n">
        <v>0.684949447637843</v>
      </c>
      <c r="C5" s="28" t="inlineStr">
        <is>
          <t>Giving file: 2024_YTD / 2024_Full_Year. 2024 was the split year, so read with care</t>
        </is>
      </c>
    </row>
    <row r="6">
      <c r="A6" s="26" t="inlineStr">
        <is>
          <t>OTHER REVENUE</t>
        </is>
      </c>
      <c r="B6" s="27" t="n"/>
      <c r="C6" s="27" t="n"/>
    </row>
    <row r="7">
      <c r="A7" s="2" t="inlineStr">
        <is>
          <t>Interest income 2027</t>
        </is>
      </c>
      <c r="B7" s="29" t="n">
        <v>10000</v>
      </c>
      <c r="C7" s="28" t="inlineStr">
        <is>
          <t>Estimate. Budget carries $20,000; handoff says 27% of budget by June. Falls further as reserves are drawn</t>
        </is>
      </c>
    </row>
    <row r="8">
      <c r="A8" s="2" t="inlineStr">
        <is>
          <t>Thrift store proceeds</t>
        </is>
      </c>
      <c r="B8" s="17" t="n">
        <v>12000</v>
      </c>
      <c r="C8" s="28" t="inlineStr">
        <is>
          <t>Budget file, 2027 proposal</t>
        </is>
      </c>
    </row>
    <row r="9" ht="30" customHeight="1">
      <c r="A9" s="2" t="inlineStr">
        <is>
          <t>Thrift counted as church operating income? (1 = yes, 0 = Missions)</t>
        </is>
      </c>
      <c r="B9" s="30" t="n">
        <v>0</v>
      </c>
      <c r="C9" s="28" t="inlineStr">
        <is>
          <t>DECISION. The Aug 14 Pastor's Note said it raises money for Missions. Also confirm whether thrift money flows through ESO at all</t>
        </is>
      </c>
    </row>
    <row r="10">
      <c r="A10" s="26" t="inlineStr">
        <is>
          <t>EXPENSES</t>
        </is>
      </c>
      <c r="B10" s="27" t="n"/>
      <c r="C10" s="27" t="n"/>
    </row>
    <row r="11">
      <c r="A11" s="2" t="inlineStr">
        <is>
          <t>2026 expenses running under budget (pace)</t>
        </is>
      </c>
      <c r="B11" s="17" t="n">
        <v>102860</v>
      </c>
      <c r="C11" s="28" t="inlineStr">
        <is>
          <t>Handoff (Elisha's 9/14 pace: $1,285,757 budget vs $1,182,897 pace)</t>
        </is>
      </c>
    </row>
    <row r="12">
      <c r="A12" s="2" t="inlineStr">
        <is>
          <t>Personnel reduction already in the 2027 proposal</t>
        </is>
      </c>
      <c r="B12" s="17" t="n">
        <v>24826.47</v>
      </c>
      <c r="C12" s="28" t="inlineStr">
        <is>
          <t>Budget file: $621,133.47 (2026) less $596,307 (2027). Subtracted so the underspend is not counted twice</t>
        </is>
      </c>
    </row>
    <row r="13">
      <c r="A13" s="2" t="inlineStr">
        <is>
          <t>Maintenance true-up added to 2027</t>
        </is>
      </c>
      <c r="B13" s="29" t="n">
        <v>15000</v>
      </c>
      <c r="C13" s="28" t="inlineStr">
        <is>
          <t>Estimate. Building maint. $33,000 and A/C $6,000 vs 2023 actuals of $47,828 and $13,059 (budget file)</t>
        </is>
      </c>
    </row>
    <row r="14">
      <c r="A14" s="26" t="inlineStr">
        <is>
          <t>RESERVE POLICY</t>
        </is>
      </c>
      <c r="B14" s="27" t="n"/>
      <c r="C14" s="27" t="n"/>
    </row>
    <row r="15">
      <c r="A15" s="2" t="inlineStr">
        <is>
          <t>Cap on 2027 unrestricted draw for operating</t>
        </is>
      </c>
      <c r="B15" s="29" t="n">
        <v>75000</v>
      </c>
      <c r="C15" s="28" t="inlineStr">
        <is>
          <t>DECISION for Council. Placeholder</t>
        </is>
      </c>
    </row>
    <row r="16">
      <c r="A16" s="2" t="inlineStr">
        <is>
          <t>Expenses held until Q1-Q2 2027 receipts beat projection (memo, not in totals)</t>
        </is>
      </c>
      <c r="B16" s="29" t="n">
        <v>0</v>
      </c>
      <c r="C16" s="28" t="inlineStr">
        <is>
          <t>DECISION. Name the items. Released only if giving runs ahead of the expected case</t>
        </is>
      </c>
    </row>
    <row r="17">
      <c r="A17" s="26" t="inlineStr">
        <is>
          <t>CHECKS AGAINST THE BUDGET FILE</t>
        </is>
      </c>
      <c r="B17" s="27" t="n"/>
      <c r="C17" s="27" t="n"/>
    </row>
    <row r="18">
      <c r="A18" s="2" t="inlineStr">
        <is>
          <t>2027 proposed total revenue</t>
        </is>
      </c>
      <c r="B18" s="17" t="n">
        <v>1129143.66</v>
      </c>
      <c r="C18" s="28" t="inlineStr">
        <is>
          <t>Budget file</t>
        </is>
      </c>
    </row>
    <row r="19">
      <c r="A19" s="2" t="inlineStr">
        <is>
          <t>2027 proposed total expenses</t>
        </is>
      </c>
      <c r="B19" s="17" t="n">
        <v>1263907.13</v>
      </c>
      <c r="C19" s="28" t="inlineStr">
        <is>
          <t>Budget file</t>
        </is>
      </c>
    </row>
  </sheetData>
  <dataValidations count="1">
    <dataValidation sqref="B9" showDropDown="0" showInputMessage="0" showErrorMessage="0" allowBlank="0" type="list">
      <formula1>"0,1"</formula1>
      <formula2>0</formula2>
    </dataValidation>
  </dataValidations>
  <pageMargins left="0.75" right="0.75" top="1" bottom="1" header="0.511811023622047" footer="0.511811023622047"/>
  <pageSetup orientation="portrait" paperSize="9" horizontalDpi="300" verticalDpi="300"/>
</worksheet>
</file>

<file path=xl/worksheets/sheet5.xml><?xml version="1.0" encoding="utf-8"?>
<worksheet xmlns="http://schemas.openxmlformats.org/spreadsheetml/2006/main">
  <sheetPr>
    <outlinePr summaryBelow="1" summaryRight="1"/>
    <pageSetUpPr/>
  </sheetPr>
  <dimension ref="A1:F24"/>
  <sheetViews>
    <sheetView zoomScaleNormal="100" workbookViewId="0">
      <selection activeCell="A1" sqref="A1"/>
    </sheetView>
  </sheetViews>
  <sheetFormatPr baseColWidth="10" defaultColWidth="8.6640625" defaultRowHeight="15"/>
  <cols>
    <col width="60" customWidth="1" min="1" max="1"/>
    <col width="15" customWidth="1" min="2" max="5"/>
    <col width="75" customWidth="1" min="6" max="6"/>
  </cols>
  <sheetData>
    <row r="1" ht="18" customHeight="1">
      <c r="A1" s="1" t="inlineStr">
        <is>
          <t>Giving cohorts, computed from a de-identified household extract (the extract is withheld from this public copy; figures are fixed values)</t>
        </is>
      </c>
    </row>
    <row r="2"/>
    <row r="3">
      <c r="A3" s="4" t="inlineStr">
        <is>
          <t>Totals</t>
        </is>
      </c>
      <c r="B3" s="4" t="inlineStr">
        <is>
          <t>2026 YTD</t>
        </is>
      </c>
      <c r="C3" s="4" t="inlineStr">
        <is>
          <t>2025 full</t>
        </is>
      </c>
      <c r="D3" s="4" t="inlineStr">
        <is>
          <t>2024 full</t>
        </is>
      </c>
      <c r="E3" s="4" t="inlineStr">
        <is>
          <t>2023 (see note)</t>
        </is>
      </c>
      <c r="F3" s="4" t="inlineStr">
        <is>
          <t>Note</t>
        </is>
      </c>
    </row>
    <row r="4">
      <c r="A4" s="2" t="inlineStr">
        <is>
          <t>Identified giving</t>
        </is>
      </c>
      <c r="B4" s="12" t="n">
        <v>445747.2</v>
      </c>
      <c r="C4" s="12" t="n">
        <v>719925.71</v>
      </c>
      <c r="D4" s="12" t="n">
        <v>652817.1700000002</v>
      </c>
      <c r="E4" s="12" t="n">
        <v>467553.0700000001</v>
      </c>
      <c r="F4" s="6" t="inlineStr">
        <is>
          <t>2023 column appears incomplete: its YTD equals its full year</t>
        </is>
      </c>
    </row>
    <row r="5">
      <c r="A5" s="2" t="inlineStr">
        <is>
          <t>Giving households</t>
        </is>
      </c>
      <c r="B5" s="31" t="n">
        <v>151</v>
      </c>
      <c r="C5" s="31" t="n">
        <v>181</v>
      </c>
      <c r="D5" s="31" t="n">
        <v>170</v>
      </c>
      <c r="E5" s="31" t="n">
        <v>140</v>
      </c>
    </row>
    <row r="6">
      <c r="A6" s="2" t="inlineStr">
        <is>
          <t>Median gift among givers</t>
        </is>
      </c>
      <c r="B6" s="12">
        <f t="array" ref="B6">MEDIAN(IF(Giving_Data!$B$2:$B$262&gt;0,Giving_Data!$B$2:$B$262))</f>
        <v/>
      </c>
      <c r="C6" s="12">
        <f t="array" ref="C6">MEDIAN(IF(Giving_Data!$C$2:$C$262&gt;0,Giving_Data!$C$2:$C$262))</f>
        <v/>
      </c>
    </row>
    <row r="7"/>
    <row r="8" ht="30" customHeight="1">
      <c r="A8" s="4" t="inlineStr">
        <is>
          <t>Seasonality</t>
        </is>
      </c>
      <c r="B8" s="4" t="inlineStr">
        <is>
          <t>Share in by date</t>
        </is>
      </c>
      <c r="C8" s="4" t="inlineStr">
        <is>
          <t>Projected 2026</t>
        </is>
      </c>
      <c r="D8" s="4" t="n"/>
      <c r="E8" s="4" t="n"/>
      <c r="F8" s="4" t="inlineStr">
        <is>
          <t>Note</t>
        </is>
      </c>
    </row>
    <row r="9">
      <c r="A9" s="2" t="inlineStr">
        <is>
          <t>2025 pattern</t>
        </is>
      </c>
      <c r="B9" s="32" t="n">
        <v>0.622744532904652</v>
      </c>
      <c r="C9" s="12">
        <f>B4/B9</f>
        <v/>
      </c>
      <c r="F9" s="6" t="inlineStr">
        <is>
          <t>Basis for the expected case</t>
        </is>
      </c>
    </row>
    <row r="10">
      <c r="A10" s="2" t="inlineStr">
        <is>
          <t>2024 pattern</t>
        </is>
      </c>
      <c r="B10" s="32" t="n">
        <v>0.684949447637843</v>
      </c>
      <c r="C10" s="12">
        <f>B4/B10</f>
        <v/>
      </c>
      <c r="F10" s="6" t="inlineStr">
        <is>
          <t>Basis for the conservative case</t>
        </is>
      </c>
    </row>
    <row r="11">
      <c r="A11" s="2" t="inlineStr">
        <is>
          <t>Needed from here to reach the $776,328 offering budget</t>
        </is>
      </c>
      <c r="B11" s="12">
        <f>776328-B4</f>
        <v/>
      </c>
      <c r="F11" s="6" t="inlineStr">
        <is>
          <t>Budget file</t>
        </is>
      </c>
    </row>
    <row r="12">
      <c r="A12" s="2" t="inlineStr">
        <is>
          <t>2025 giving received after the same date</t>
        </is>
      </c>
      <c r="B12" s="12" t="n">
        <v>271595.91</v>
      </c>
    </row>
    <row r="13">
      <c r="A13" s="2" t="inlineStr">
        <is>
          <t>Late-year increase over 2025 needed to hit budget</t>
        </is>
      </c>
      <c r="B13" s="32">
        <f>B11/B12-1</f>
        <v/>
      </c>
    </row>
    <row r="14">
      <c r="A14" s="2" t="inlineStr">
        <is>
          <t>Share of 2025 late-year giving from the top five households</t>
        </is>
      </c>
      <c r="B14" s="32" t="n">
        <v>0.3517999958099516</v>
      </c>
    </row>
    <row r="15"/>
    <row r="16">
      <c r="A16" s="4" t="inlineStr">
        <is>
          <t>Cohorts (by first year giving in this file)</t>
        </is>
      </c>
      <c r="B16" s="4" t="inlineStr">
        <is>
          <t>Households</t>
        </is>
      </c>
      <c r="C16" s="4" t="inlineStr">
        <is>
          <t>2024</t>
        </is>
      </c>
      <c r="D16" s="4" t="inlineStr">
        <is>
          <t>2025</t>
        </is>
      </c>
      <c r="E16" s="4" t="inlineStr">
        <is>
          <t>2026 YTD</t>
        </is>
      </c>
      <c r="F16" s="4" t="inlineStr">
        <is>
          <t>Note</t>
        </is>
      </c>
    </row>
    <row r="17" ht="30" customHeight="1">
      <c r="A17" s="2" t="inlineStr">
        <is>
          <t>Core: gave in 2023, 2024, 2025 and 2026</t>
        </is>
      </c>
      <c r="B17" s="31" t="n">
        <v>83</v>
      </c>
      <c r="C17" s="12" t="n">
        <v>477521.45</v>
      </c>
      <c r="D17" s="12" t="n">
        <v>544192.12</v>
      </c>
      <c r="E17" s="12" t="n">
        <v>355486.45</v>
      </c>
      <c r="F17" s="6" t="inlineStr">
        <is>
          <t>June analysis reported 88 households, $480,856 (2023) to $596,332 (2025). This extract does not reproduce that</t>
        </is>
      </c>
    </row>
    <row r="18">
      <c r="A18" s="2" t="inlineStr">
        <is>
          <t>First gave in 2024</t>
        </is>
      </c>
      <c r="B18" s="31" t="n">
        <v>47</v>
      </c>
      <c r="C18" s="12" t="n">
        <v>22046</v>
      </c>
      <c r="D18" s="12" t="n">
        <v>58582.05</v>
      </c>
      <c r="E18" s="12" t="n">
        <v>31285</v>
      </c>
    </row>
    <row r="19">
      <c r="A19" s="2" t="inlineStr">
        <is>
          <t>First gave in 2025</t>
        </is>
      </c>
      <c r="B19" s="31" t="n">
        <v>56</v>
      </c>
      <c r="D19" s="12" t="n">
        <v>62070.1</v>
      </c>
      <c r="E19" s="12" t="n">
        <v>50765.75</v>
      </c>
    </row>
    <row r="20">
      <c r="A20" s="2" t="inlineStr">
        <is>
          <t>First gave in 2026</t>
        </is>
      </c>
      <c r="B20" s="31" t="n">
        <v>18</v>
      </c>
      <c r="E20" s="12" t="n">
        <v>7965</v>
      </c>
    </row>
    <row r="21">
      <c r="A21" s="2" t="inlineStr">
        <is>
          <t>Gave in 2025, nothing yet in 2026</t>
        </is>
      </c>
      <c r="B21" s="31" t="n">
        <v>49</v>
      </c>
      <c r="D21" s="12" t="n">
        <v>96598.53999999999</v>
      </c>
    </row>
    <row r="22"/>
    <row r="23">
      <c r="A23" s="2" t="inlineStr">
        <is>
          <t>Average partial-first-year gift, 2025 newcomers</t>
        </is>
      </c>
      <c r="B23" s="12">
        <f>D19/B19</f>
        <v/>
      </c>
    </row>
    <row r="24">
      <c r="A24" s="2" t="inlineStr">
        <is>
          <t>Average first-full-year gift, 2024 newcomers (in 2025)</t>
        </is>
      </c>
      <c r="B24" s="12">
        <f>D18/B18</f>
        <v/>
      </c>
    </row>
  </sheetData>
  <pageMargins left="0.75" right="0.75" top="1" bottom="1" header="0.511811023622047" footer="0.511811023622047"/>
  <pageSetup orientation="portrait" paperSize="9" horizontalDpi="300" verticalDpi="300"/>
</worksheet>
</file>

<file path=xl/worksheets/sheet6.xml><?xml version="1.0" encoding="utf-8"?>
<worksheet xmlns="http://schemas.openxmlformats.org/spreadsheetml/2006/main">
  <sheetPr>
    <outlinePr summaryBelow="1" summaryRight="1"/>
    <pageSetUpPr/>
  </sheetPr>
  <dimension ref="A1:C14"/>
  <sheetViews>
    <sheetView zoomScaleNormal="100" workbookViewId="0">
      <selection activeCell="A1" sqref="A1"/>
    </sheetView>
  </sheetViews>
  <sheetFormatPr baseColWidth="10" defaultColWidth="8.6640625" defaultRowHeight="15"/>
  <cols>
    <col width="62" customWidth="1" min="1" max="1"/>
    <col width="16" customWidth="1" min="2" max="2"/>
    <col width="85" customWidth="1" min="3" max="3"/>
  </cols>
  <sheetData>
    <row r="1" ht="18" customHeight="1">
      <c r="A1" s="1" t="inlineStr">
        <is>
          <t>Rough runway check</t>
        </is>
      </c>
    </row>
    <row r="2"/>
    <row r="3">
      <c r="A3" s="4" t="inlineStr">
        <is>
          <t>Item</t>
        </is>
      </c>
      <c r="B3" s="4" t="inlineStr">
        <is>
          <t>Value</t>
        </is>
      </c>
      <c r="C3" s="4" t="inlineStr">
        <is>
          <t>Source / note</t>
        </is>
      </c>
    </row>
    <row r="4">
      <c r="A4" s="2" t="inlineStr">
        <is>
          <t>Reserves entering 2026</t>
        </is>
      </c>
      <c r="B4" s="17" t="n">
        <v>922000</v>
      </c>
      <c r="C4" s="28" t="inlineStr">
        <is>
          <t>June analysis / handoff</t>
        </is>
      </c>
    </row>
    <row r="5">
      <c r="A5" s="2" t="inlineStr">
        <is>
          <t>Total church cash, June 30, 2026</t>
        </is>
      </c>
      <c r="B5" s="17" t="n">
        <v>749181</v>
      </c>
      <c r="C5" s="28" t="inlineStr">
        <is>
          <t>Handoff (June statement). Verify account mapping with Elisha</t>
        </is>
      </c>
    </row>
    <row r="6">
      <c r="A6" s="2" t="inlineStr">
        <is>
          <t>Change in first half of 2026</t>
        </is>
      </c>
      <c r="B6" s="12">
        <f>B5-B4</f>
        <v/>
      </c>
      <c r="C6" s="28" t="inlineStr">
        <is>
          <t>Larger than the full-year deficit estimate. Needs explaining</t>
        </is>
      </c>
    </row>
    <row r="7">
      <c r="A7" s="2" t="inlineStr">
        <is>
          <t>Operating account, June 30</t>
        </is>
      </c>
      <c r="B7" s="17" t="n">
        <v>117000</v>
      </c>
      <c r="C7" s="28" t="inlineStr">
        <is>
          <t>Handoff, approximate</t>
        </is>
      </c>
    </row>
    <row r="8">
      <c r="A8" s="2" t="inlineStr">
        <is>
          <t>Business money market savings, June 30</t>
        </is>
      </c>
      <c r="B8" s="17" t="n">
        <v>129000</v>
      </c>
      <c r="C8" s="28" t="inlineStr">
        <is>
          <t>Handoff, approximate</t>
        </is>
      </c>
    </row>
    <row r="9">
      <c r="A9" s="2" t="inlineStr">
        <is>
          <t>Unrestricted, if only operating plus savings are free</t>
        </is>
      </c>
      <c r="B9" s="12">
        <f>B7+B8</f>
        <v/>
      </c>
      <c r="C9" s="28" t="inlineStr">
        <is>
          <t>Upper bound until designated and gift funds are confirmed</t>
        </is>
      </c>
    </row>
    <row r="10">
      <c r="A10" s="2" t="inlineStr">
        <is>
          <t>Further unrestricted draw expected July-December 2026</t>
        </is>
      </c>
      <c r="B10" s="29" t="n">
        <v>0</v>
      </c>
      <c r="C10" s="28" t="inlineStr">
        <is>
          <t>UNKNOWN. Fill in from Elisha</t>
        </is>
      </c>
    </row>
    <row r="11">
      <c r="A11" s="2" t="inlineStr">
        <is>
          <t>Unrestricted entering 2027</t>
        </is>
      </c>
      <c r="B11" s="12">
        <f>B9-B10</f>
        <v/>
      </c>
      <c r="C11" s="28" t="n"/>
    </row>
    <row r="12">
      <c r="A12" s="2" t="inlineStr">
        <is>
          <t>January insurance payment (if paid in one lump)</t>
        </is>
      </c>
      <c r="B12" s="29" t="n">
        <v>152000</v>
      </c>
      <c r="C12" s="28" t="inlineStr">
        <is>
          <t>UNKNOWN schedule. Affects January cash, not the year total</t>
        </is>
      </c>
    </row>
    <row r="13">
      <c r="A13" s="2" t="inlineStr">
        <is>
          <t>Expected-case 2027 operating draw</t>
        </is>
      </c>
      <c r="B13" s="10">
        <f>Summary!D18</f>
        <v/>
      </c>
      <c r="C13" s="28" t="inlineStr">
        <is>
          <t>From Summary</t>
        </is>
      </c>
    </row>
    <row r="14">
      <c r="A14" s="2" t="inlineStr">
        <is>
          <t>Unrestricted remaining at end of 2027 (before building needs)</t>
        </is>
      </c>
      <c r="B14" s="12">
        <f>B11-B13</f>
        <v/>
      </c>
      <c r="C14" s="28" t="n"/>
    </row>
  </sheetData>
  <pageMargins left="0.75" right="0.75" top="1" bottom="1" header="0.511811023622047" footer="0.511811023622047"/>
  <pageSetup orientation="portrait" paperSize="9" horizontalDpi="300" verticalDpi="300"/>
</worksheet>
</file>

<file path=xl/worksheets/sheet7.xml><?xml version="1.0" encoding="utf-8"?>
<worksheet xmlns="http://schemas.openxmlformats.org/spreadsheetml/2006/main">
  <sheetPr>
    <outlinePr summaryBelow="1" summaryRight="1"/>
    <pageSetUpPr/>
  </sheetPr>
  <dimension ref="A1:N19"/>
  <sheetViews>
    <sheetView zoomScaleNormal="100" workbookViewId="0">
      <selection activeCell="A1" sqref="A1"/>
    </sheetView>
  </sheetViews>
  <sheetFormatPr baseColWidth="10" defaultColWidth="8.6640625" defaultRowHeight="15"/>
  <cols>
    <col width="40" customWidth="1" min="1" max="1"/>
    <col width="10" customWidth="1" min="2" max="2"/>
    <col width="11" customWidth="1" min="3" max="5"/>
    <col width="14" customWidth="1" min="6" max="6"/>
    <col width="26" customWidth="1" min="7" max="7"/>
    <col width="20" customWidth="1" min="8" max="8"/>
    <col width="9" customWidth="1" min="9" max="9"/>
    <col width="70" customWidth="1" min="10" max="10"/>
    <col width="11" customWidth="1" min="11" max="11"/>
    <col width="13" customWidth="1" min="12" max="14"/>
  </cols>
  <sheetData>
    <row r="1" ht="30" customHeight="1">
      <c r="A1" s="4" t="inlineStr">
        <is>
          <t>Lever</t>
        </is>
      </c>
      <c r="B1" s="4" t="inlineStr">
        <is>
          <t>Side</t>
        </is>
      </c>
      <c r="C1" s="4" t="inlineStr">
        <is>
          <t>Low</t>
        </is>
      </c>
      <c r="D1" s="4" t="inlineStr">
        <is>
          <t>Mid</t>
        </is>
      </c>
      <c r="E1" s="4" t="inlineStr">
        <is>
          <t>High</t>
        </is>
      </c>
      <c r="F1" s="4" t="inlineStr">
        <is>
          <t>Confidence</t>
        </is>
      </c>
      <c r="G1" s="4" t="inlineStr">
        <is>
          <t>Timing</t>
        </is>
      </c>
      <c r="H1" s="4" t="inlineStr">
        <is>
          <t>Owner</t>
        </is>
      </c>
      <c r="I1" s="4" t="inlineStr">
        <is>
          <t>Include (1/0)</t>
        </is>
      </c>
      <c r="J1" s="4" t="inlineStr">
        <is>
          <t>Basis</t>
        </is>
      </c>
      <c r="K1" s="4" t="inlineStr">
        <is>
          <t>Budget line</t>
        </is>
      </c>
      <c r="L1" s="4" t="inlineStr">
        <is>
          <t>Conservative</t>
        </is>
      </c>
      <c r="M1" s="4" t="inlineStr">
        <is>
          <t>Expected</t>
        </is>
      </c>
      <c r="N1" s="4" t="inlineStr">
        <is>
          <t>Optimistic</t>
        </is>
      </c>
    </row>
    <row r="2">
      <c r="A2" s="2" t="inlineStr">
        <is>
          <t>Telephone audit</t>
        </is>
      </c>
      <c r="B2" s="2" t="inlineStr">
        <is>
          <t>Expense</t>
        </is>
      </c>
      <c r="C2" s="17" t="n">
        <v>6000</v>
      </c>
      <c r="D2" s="12">
        <f>AVERAGE(C2,E2)</f>
        <v/>
      </c>
      <c r="E2" s="17" t="n">
        <v>10000</v>
      </c>
      <c r="F2" s="2" t="inlineStr">
        <is>
          <t>Medium-high</t>
        </is>
      </c>
      <c r="G2" s="2" t="inlineStr">
        <is>
          <t>Next contract end date</t>
        </is>
      </c>
      <c r="H2" s="2" t="inlineStr">
        <is>
          <t>Elisha / Trustees</t>
        </is>
      </c>
      <c r="I2" s="33" t="n">
        <v>1</v>
      </c>
      <c r="J2" s="28" t="inlineStr">
        <is>
          <t>Budget file: 52090 at $22,000. Savings are an estimate</t>
        </is>
      </c>
      <c r="K2" s="2" t="inlineStr">
        <is>
          <t>L52090</t>
        </is>
      </c>
      <c r="L2" s="10">
        <f>$I2*CHOOSE(Summary!$C$8,$C2,$D2,$E2)</f>
        <v/>
      </c>
      <c r="M2" s="10">
        <f>$I2*CHOOSE(Summary!$D$8,$C2,$D2,$E2)</f>
        <v/>
      </c>
      <c r="N2" s="10">
        <f>$I2*CHOOSE(Summary!$E$8,$C2,$D2,$E2)</f>
        <v/>
      </c>
    </row>
    <row r="3" ht="45" customHeight="1">
      <c r="A3" s="2" t="inlineStr">
        <is>
          <t>Property insurance rebid</t>
        </is>
      </c>
      <c r="B3" s="2" t="inlineStr">
        <is>
          <t>Expense</t>
        </is>
      </c>
      <c r="C3" s="17" t="n">
        <v>0</v>
      </c>
      <c r="D3" s="12">
        <f>AVERAGE(C3,E3)</f>
        <v/>
      </c>
      <c r="E3" s="17" t="n">
        <v>15000</v>
      </c>
      <c r="F3" s="2" t="inlineStr">
        <is>
          <t>Off the table</t>
        </is>
      </c>
      <c r="G3" s="2" t="inlineStr">
        <is>
          <t>Not pursued</t>
        </is>
      </c>
      <c r="H3" s="2" t="inlineStr">
        <is>
          <t>Trustees</t>
        </is>
      </c>
      <c r="I3" s="33" t="n">
        <v>0</v>
      </c>
      <c r="J3" s="28" t="inlineStr">
        <is>
          <t>Woods, 2026-09-21: not rebidding. Coverage was rebid two years ago with significant savings; hoping premiums keep falling with a quiet Gulf. Left at 0; any decrease at renewal is upside</t>
        </is>
      </c>
      <c r="K3" s="2" t="inlineStr">
        <is>
          <t>L50400</t>
        </is>
      </c>
      <c r="L3" s="10">
        <f>$I3*CHOOSE(Summary!$C$8,$C3,$D3,$E3)</f>
        <v/>
      </c>
      <c r="M3" s="10">
        <f>$I3*CHOOSE(Summary!$D$8,$C3,$D3,$E3)</f>
        <v/>
      </c>
      <c r="N3" s="10">
        <f>$I3*CHOOSE(Summary!$E$8,$C3,$D3,$E3)</f>
        <v/>
      </c>
    </row>
    <row r="4" ht="30" customHeight="1">
      <c r="A4" s="2" t="inlineStr">
        <is>
          <t>Sell the church bus</t>
        </is>
      </c>
      <c r="B4" s="2" t="inlineStr">
        <is>
          <t>Expense</t>
        </is>
      </c>
      <c r="C4" s="17" t="n">
        <v>3000</v>
      </c>
      <c r="D4" s="12">
        <f>AVERAGE(C4,E4)</f>
        <v/>
      </c>
      <c r="E4" s="17" t="n">
        <v>6000</v>
      </c>
      <c r="F4" s="2" t="inlineStr">
        <is>
          <t>Medium</t>
        </is>
      </c>
      <c r="G4" s="2" t="inlineStr">
        <is>
          <t>After Trustees take it off the table</t>
        </is>
      </c>
      <c r="H4" s="2" t="inlineStr">
        <is>
          <t>Trustees</t>
        </is>
      </c>
      <c r="I4" s="33" t="n">
        <v>1</v>
      </c>
      <c r="J4" s="28" t="inlineStr">
        <is>
          <t>Budget file: 50665 vehicle maint. $6,000. Insurance share unknown; sale proceeds are one-time and excluded</t>
        </is>
      </c>
      <c r="K4" s="2" t="inlineStr">
        <is>
          <t>L50665</t>
        </is>
      </c>
      <c r="L4" s="10">
        <f>$I4*CHOOSE(Summary!$C$8,$C4,$D4,$E4)</f>
        <v/>
      </c>
      <c r="M4" s="10">
        <f>$I4*CHOOSE(Summary!$D$8,$C4,$D4,$E4)</f>
        <v/>
      </c>
      <c r="N4" s="10">
        <f>$I4*CHOOSE(Summary!$E$8,$C4,$D4,$E4)</f>
        <v/>
      </c>
    </row>
    <row r="5">
      <c r="A5" s="2" t="inlineStr">
        <is>
          <t>Equipment lease review</t>
        </is>
      </c>
      <c r="B5" s="2" t="inlineStr">
        <is>
          <t>Expense</t>
        </is>
      </c>
      <c r="C5" s="17" t="n">
        <v>2000</v>
      </c>
      <c r="D5" s="12">
        <f>AVERAGE(C5,E5)</f>
        <v/>
      </c>
      <c r="E5" s="17" t="n">
        <v>5000</v>
      </c>
      <c r="F5" s="2" t="inlineStr">
        <is>
          <t>Medium</t>
        </is>
      </c>
      <c r="G5" s="2" t="inlineStr">
        <is>
          <t>Lease end date</t>
        </is>
      </c>
      <c r="H5" s="2" t="inlineStr">
        <is>
          <t>Elisha</t>
        </is>
      </c>
      <c r="I5" s="33" t="n">
        <v>1</v>
      </c>
      <c r="J5" s="28" t="inlineStr">
        <is>
          <t>Budget file: 52008 at $18,500. Estimate</t>
        </is>
      </c>
      <c r="K5" s="2" t="inlineStr">
        <is>
          <t>L52008</t>
        </is>
      </c>
      <c r="L5" s="10">
        <f>$I5*CHOOSE(Summary!$C$8,$C5,$D5,$E5)</f>
        <v/>
      </c>
      <c r="M5" s="10">
        <f>$I5*CHOOSE(Summary!$D$8,$C5,$D5,$E5)</f>
        <v/>
      </c>
      <c r="N5" s="10">
        <f>$I5*CHOOSE(Summary!$E$8,$C5,$D5,$E5)</f>
        <v/>
      </c>
    </row>
    <row r="6">
      <c r="A6" s="2" t="inlineStr">
        <is>
          <t>Electricity (rate, setpoints, lighting)</t>
        </is>
      </c>
      <c r="B6" s="2" t="inlineStr">
        <is>
          <t>Expense</t>
        </is>
      </c>
      <c r="C6" s="17" t="n">
        <v>2000</v>
      </c>
      <c r="D6" s="12">
        <f>AVERAGE(C6,E6)</f>
        <v/>
      </c>
      <c r="E6" s="17" t="n">
        <v>6000</v>
      </c>
      <c r="F6" s="2" t="inlineStr">
        <is>
          <t>Medium</t>
        </is>
      </c>
      <c r="G6" s="2" t="inlineStr">
        <is>
          <t>Rolling</t>
        </is>
      </c>
      <c r="H6" s="2" t="inlineStr">
        <is>
          <t>Trustees</t>
        </is>
      </c>
      <c r="I6" s="33" t="n">
        <v>1</v>
      </c>
      <c r="J6" s="28" t="inlineStr">
        <is>
          <t>Budget file: 50300 at $61,750. Estimate</t>
        </is>
      </c>
      <c r="K6" s="2" t="inlineStr">
        <is>
          <t>L50300</t>
        </is>
      </c>
      <c r="L6" s="10">
        <f>$I6*CHOOSE(Summary!$C$8,$C6,$D6,$E6)</f>
        <v/>
      </c>
      <c r="M6" s="10">
        <f>$I6*CHOOSE(Summary!$D$8,$C6,$D6,$E6)</f>
        <v/>
      </c>
      <c r="N6" s="10">
        <f>$I6*CHOOSE(Summary!$E$8,$C6,$D6,$E6)</f>
        <v/>
      </c>
    </row>
    <row r="7">
      <c r="A7" s="2" t="inlineStr">
        <is>
          <t>Reed Building removal</t>
        </is>
      </c>
      <c r="B7" s="2" t="inlineStr">
        <is>
          <t>Expense</t>
        </is>
      </c>
      <c r="C7" s="17" t="n">
        <v>0</v>
      </c>
      <c r="D7" s="12">
        <f>AVERAGE(C7,E7)</f>
        <v/>
      </c>
      <c r="E7" s="17" t="n">
        <v>5000</v>
      </c>
      <c r="F7" s="2" t="inlineStr">
        <is>
          <t>Low</t>
        </is>
      </c>
      <c r="G7" s="2" t="inlineStr">
        <is>
          <t>After removal and insurer reprices</t>
        </is>
      </c>
      <c r="H7" s="2" t="inlineStr">
        <is>
          <t>Trustees</t>
        </is>
      </c>
      <c r="I7" s="33" t="n">
        <v>1</v>
      </c>
      <c r="J7" s="28" t="inlineStr">
        <is>
          <t>Estimate. Booked against building maint. until the real savings lines are known</t>
        </is>
      </c>
      <c r="K7" s="2" t="inlineStr">
        <is>
          <t>L50660</t>
        </is>
      </c>
      <c r="L7" s="10">
        <f>$I7*CHOOSE(Summary!$C$8,$C7,$D7,$E7)</f>
        <v/>
      </c>
      <c r="M7" s="10">
        <f>$I7*CHOOSE(Summary!$D$8,$C7,$D7,$E7)</f>
        <v/>
      </c>
      <c r="N7" s="10">
        <f>$I7*CHOOSE(Summary!$E$8,$C7,$D7,$E7)</f>
        <v/>
      </c>
    </row>
    <row r="8" ht="30" customHeight="1">
      <c r="A8" s="2" t="inlineStr">
        <is>
          <t>Known household changes</t>
        </is>
      </c>
      <c r="B8" s="2" t="inlineStr">
        <is>
          <t>Revenue</t>
        </is>
      </c>
      <c r="C8" s="17" t="n">
        <v>4000</v>
      </c>
      <c r="D8" s="12">
        <f>AVERAGE(C8,E8)</f>
        <v/>
      </c>
      <c r="E8" s="17" t="n">
        <v>8300</v>
      </c>
      <c r="F8" s="2" t="inlineStr">
        <is>
          <t>Woods's judgment</t>
        </is>
      </c>
      <c r="G8" s="2" t="inlineStr">
        <is>
          <t>2027</t>
        </is>
      </c>
      <c r="H8" s="2" t="inlineStr">
        <is>
          <t>Woods</t>
        </is>
      </c>
      <c r="I8" s="33" t="n">
        <v>1</v>
      </c>
      <c r="J8" s="28" t="inlineStr">
        <is>
          <t>Pastor's judgment about known changes in a few specific households' giving. Details withheld.</t>
        </is>
      </c>
      <c r="K8" s="2" t="inlineStr">
        <is>
          <t>KNOWN</t>
        </is>
      </c>
      <c r="L8" s="10">
        <f>$I8*CHOOSE(Summary!$C$8,$C8,$D8,$E8)</f>
        <v/>
      </c>
      <c r="M8" s="10">
        <f>$I8*CHOOSE(Summary!$D$8,$C8,$D8,$E8)</f>
        <v/>
      </c>
      <c r="N8" s="10">
        <f>$I8*CHOOSE(Summary!$E$8,$C8,$D8,$E8)</f>
        <v/>
      </c>
    </row>
    <row r="9" ht="30" customHeight="1">
      <c r="A9" s="2" t="inlineStr">
        <is>
          <t>Stewardship step-up appeal</t>
        </is>
      </c>
      <c r="B9" s="2" t="inlineStr">
        <is>
          <t>Revenue</t>
        </is>
      </c>
      <c r="C9" s="17" t="n">
        <v>7500</v>
      </c>
      <c r="D9" s="12">
        <f>AVERAGE(C9,E9)</f>
        <v/>
      </c>
      <c r="E9" s="17" t="n">
        <v>15000</v>
      </c>
      <c r="F9" s="2" t="inlineStr">
        <is>
          <t>Low-medium</t>
        </is>
      </c>
      <c r="G9" s="2" t="inlineStr">
        <is>
          <t>Fall 2026 campaign for 2027</t>
        </is>
      </c>
      <c r="H9" s="2" t="inlineStr">
        <is>
          <t>Finance / Woods</t>
        </is>
      </c>
      <c r="I9" s="33" t="n">
        <v>1</v>
      </c>
      <c r="J9" s="28" t="inlineStr">
        <is>
          <t>Giving file: 98 households gave in 2025 outside the 83-household core. $250 step at 30-60% response. Estimate</t>
        </is>
      </c>
      <c r="K9" s="2" t="inlineStr">
        <is>
          <t>STEPUP</t>
        </is>
      </c>
      <c r="L9" s="10">
        <f>$I9*CHOOSE(Summary!$C$8,$C9,$D9,$E9)</f>
        <v/>
      </c>
      <c r="M9" s="10">
        <f>$I9*CHOOSE(Summary!$D$8,$C9,$D9,$E9)</f>
        <v/>
      </c>
      <c r="N9" s="10">
        <f>$I9*CHOOSE(Summary!$E$8,$C9,$D9,$E9)</f>
        <v/>
      </c>
    </row>
    <row r="10" ht="30" customHeight="1">
      <c r="A10" s="2" t="inlineStr">
        <is>
          <t>New-member giving (60 Ready to Join)</t>
        </is>
      </c>
      <c r="B10" s="2" t="inlineStr">
        <is>
          <t>Revenue</t>
        </is>
      </c>
      <c r="C10" s="17" t="n">
        <v>10000</v>
      </c>
      <c r="D10" s="12">
        <f>AVERAGE(C10,E10)</f>
        <v/>
      </c>
      <c r="E10" s="17" t="n">
        <v>35000</v>
      </c>
      <c r="F10" s="2" t="inlineStr">
        <is>
          <t>Low-medium</t>
        </is>
      </c>
      <c r="G10" s="2" t="inlineStr">
        <is>
          <t>Ramps across 2027</t>
        </is>
      </c>
      <c r="H10" s="2" t="inlineStr">
        <is>
          <t>Woods / Membership</t>
        </is>
      </c>
      <c r="I10" s="33" t="n">
        <v>1</v>
      </c>
      <c r="J10" s="28" t="inlineStr">
        <is>
          <t>Giving file: 2025 newcomer households averaged ~$1,108 in a partial first year. 20 to ~32 new giving households. Estimate</t>
        </is>
      </c>
      <c r="K10" s="2" t="inlineStr">
        <is>
          <t>NEWMEM</t>
        </is>
      </c>
      <c r="L10" s="10">
        <f>$I10*CHOOSE(Summary!$C$8,$C10,$D10,$E10)</f>
        <v/>
      </c>
      <c r="M10" s="10">
        <f>$I10*CHOOSE(Summary!$D$8,$C10,$D10,$E10)</f>
        <v/>
      </c>
      <c r="N10" s="10">
        <f>$I10*CHOOSE(Summary!$E$8,$C10,$D10,$E10)</f>
        <v/>
      </c>
    </row>
    <row r="11">
      <c r="A11" s="2" t="inlineStr">
        <is>
          <t>Lapsed-household recovery</t>
        </is>
      </c>
      <c r="B11" s="2" t="inlineStr">
        <is>
          <t>Revenue</t>
        </is>
      </c>
      <c r="C11" s="17" t="n">
        <v>0</v>
      </c>
      <c r="D11" s="12">
        <f>AVERAGE(C11,E11)</f>
        <v/>
      </c>
      <c r="E11" s="17" t="n">
        <v>6000</v>
      </c>
      <c r="F11" s="2" t="inlineStr">
        <is>
          <t>Low</t>
        </is>
      </c>
      <c r="G11" s="2" t="inlineStr">
        <is>
          <t>Q4 2026 into 2027</t>
        </is>
      </c>
      <c r="H11" s="2" t="inlineStr">
        <is>
          <t>Woods</t>
        </is>
      </c>
      <c r="I11" s="33" t="n">
        <v>1</v>
      </c>
      <c r="J11" s="28" t="inlineStr">
        <is>
          <t>June analysis: six $1,000+ 2025 households with no 2026 activity, about $12,400</t>
        </is>
      </c>
      <c r="K11" s="2" t="inlineStr">
        <is>
          <t>LAPSED</t>
        </is>
      </c>
      <c r="L11" s="10">
        <f>$I11*CHOOSE(Summary!$C$8,$C11,$D11,$E11)</f>
        <v/>
      </c>
      <c r="M11" s="10">
        <f>$I11*CHOOSE(Summary!$D$8,$C11,$D11,$E11)</f>
        <v/>
      </c>
      <c r="N11" s="10">
        <f>$I11*CHOOSE(Summary!$E$8,$C11,$D11,$E11)</f>
        <v/>
      </c>
    </row>
    <row r="12">
      <c r="A12" s="2" t="inlineStr">
        <is>
          <t>Rental escalators on existing leases</t>
        </is>
      </c>
      <c r="B12" s="2" t="inlineStr">
        <is>
          <t>Revenue</t>
        </is>
      </c>
      <c r="C12" s="17" t="n">
        <v>0</v>
      </c>
      <c r="D12" s="12">
        <f>AVERAGE(C12,E12)</f>
        <v/>
      </c>
      <c r="E12" s="17" t="n">
        <v>4000</v>
      </c>
      <c r="F12" s="2" t="inlineStr">
        <is>
          <t>Depends on leases</t>
        </is>
      </c>
      <c r="G12" s="2" t="inlineStr">
        <is>
          <t>Renewal dates</t>
        </is>
      </c>
      <c r="H12" s="2" t="inlineStr">
        <is>
          <t>Trustees</t>
        </is>
      </c>
      <c r="I12" s="33" t="n">
        <v>1</v>
      </c>
      <c r="J12" s="28" t="inlineStr">
        <is>
          <t>Budget file: $87,800 flat since 2023. Roughly 3-4% if leases allow</t>
        </is>
      </c>
      <c r="K12" s="2" t="inlineStr">
        <is>
          <t>L44020</t>
        </is>
      </c>
      <c r="L12" s="10">
        <f>$I12*CHOOSE(Summary!$C$8,$C12,$D12,$E12)</f>
        <v/>
      </c>
      <c r="M12" s="10">
        <f>$I12*CHOOSE(Summary!$D$8,$C12,$D12,$E12)</f>
        <v/>
      </c>
      <c r="N12" s="10">
        <f>$I12*CHOOSE(Summary!$E$8,$C12,$D12,$E12)</f>
        <v/>
      </c>
    </row>
    <row r="13">
      <c r="A13" s="2" t="inlineStr">
        <is>
          <t>Partner with SFUMC sponsorships</t>
        </is>
      </c>
      <c r="B13" s="2" t="inlineStr">
        <is>
          <t>Revenue</t>
        </is>
      </c>
      <c r="C13" s="17" t="n">
        <v>0</v>
      </c>
      <c r="D13" s="12">
        <f>AVERAGE(C13,E13)</f>
        <v/>
      </c>
      <c r="E13" s="17" t="n">
        <v>12000</v>
      </c>
      <c r="F13" s="2" t="inlineStr">
        <is>
          <t>Low</t>
        </is>
      </c>
      <c r="G13" s="2" t="inlineStr">
        <is>
          <t>Mid-2027</t>
        </is>
      </c>
      <c r="H13" s="2" t="inlineStr">
        <is>
          <t>Council</t>
        </is>
      </c>
      <c r="I13" s="33" t="n">
        <v>1</v>
      </c>
      <c r="J13" s="28" t="inlineStr">
        <is>
          <t>Handoff: $3,000 tier, not budgeted. 0 to 4 sponsors</t>
        </is>
      </c>
      <c r="K13" s="2" t="inlineStr">
        <is>
          <t>SPONSOR</t>
        </is>
      </c>
      <c r="L13" s="10">
        <f>$I13*CHOOSE(Summary!$C$8,$C13,$D13,$E13)</f>
        <v/>
      </c>
      <c r="M13" s="10">
        <f>$I13*CHOOSE(Summary!$D$8,$C13,$D13,$E13)</f>
        <v/>
      </c>
      <c r="N13" s="10">
        <f>$I13*CHOOSE(Summary!$E$8,$C13,$D13,$E13)</f>
        <v/>
      </c>
    </row>
    <row r="14">
      <c r="A14" s="2" t="inlineStr">
        <is>
          <t>Preschool tuition adjustment</t>
        </is>
      </c>
      <c r="B14" s="2" t="inlineStr">
        <is>
          <t>Revenue</t>
        </is>
      </c>
      <c r="C14" s="17" t="n">
        <v>0</v>
      </c>
      <c r="D14" s="12">
        <f>AVERAGE(C14,E14)</f>
        <v/>
      </c>
      <c r="E14" s="17" t="n">
        <v>4600</v>
      </c>
      <c r="F14" s="2" t="inlineStr">
        <is>
          <t>Medium</t>
        </is>
      </c>
      <c r="G14" s="2" t="inlineStr">
        <is>
          <t>Fall 2027 enrollment</t>
        </is>
      </c>
      <c r="H14" s="2" t="inlineStr">
        <is>
          <t>Preschool board / Council</t>
        </is>
      </c>
      <c r="I14" s="33" t="n">
        <v>1</v>
      </c>
      <c r="J14" s="28" t="inlineStr">
        <is>
          <t>Budget file: tuition $92,000; 0-5%. Teacher pay flat since 2025 may claim this first</t>
        </is>
      </c>
      <c r="K14" s="2" t="inlineStr">
        <is>
          <t>L49010</t>
        </is>
      </c>
      <c r="L14" s="10">
        <f>$I14*CHOOSE(Summary!$C$8,$C14,$D14,$E14)</f>
        <v/>
      </c>
      <c r="M14" s="10">
        <f>$I14*CHOOSE(Summary!$D$8,$C14,$D14,$E14)</f>
        <v/>
      </c>
      <c r="N14" s="10">
        <f>$I14*CHOOSE(Summary!$E$8,$C14,$D14,$E14)</f>
        <v/>
      </c>
    </row>
    <row r="15">
      <c r="A15" s="2" t="inlineStr">
        <is>
          <t>New rental(s) / West Campus</t>
        </is>
      </c>
      <c r="B15" s="2" t="inlineStr">
        <is>
          <t>Revenue</t>
        </is>
      </c>
      <c r="C15" s="17" t="n">
        <v>0</v>
      </c>
      <c r="D15" s="12">
        <f>AVERAGE(C15,E15)</f>
        <v/>
      </c>
      <c r="E15" s="17" t="n">
        <v>0</v>
      </c>
      <c r="F15" s="2" t="inlineStr">
        <is>
          <t>Zero until signed</t>
        </is>
      </c>
      <c r="G15" s="2" t="inlineStr">
        <is>
          <t>Unknown</t>
        </is>
      </c>
      <c r="H15" s="2" t="inlineStr">
        <is>
          <t>Building Committee</t>
        </is>
      </c>
      <c r="I15" s="33" t="n">
        <v>0</v>
      </c>
      <c r="J15" s="28" t="inlineStr">
        <is>
          <t>Enter values only with a signed lease and a start date</t>
        </is>
      </c>
      <c r="K15" s="2" t="inlineStr">
        <is>
          <t>RENTNEW</t>
        </is>
      </c>
      <c r="L15" s="10">
        <f>$I15*CHOOSE(Summary!$C$8,$C15,$D15,$E15)</f>
        <v/>
      </c>
      <c r="M15" s="10">
        <f>$I15*CHOOSE(Summary!$D$8,$C15,$D15,$E15)</f>
        <v/>
      </c>
      <c r="N15" s="10">
        <f>$I15*CHOOSE(Summary!$E$8,$C15,$D15,$E15)</f>
        <v/>
      </c>
    </row>
    <row r="16"/>
    <row r="17">
      <c r="A17" s="3" t="inlineStr">
        <is>
          <t>Totals</t>
        </is>
      </c>
    </row>
    <row r="18">
      <c r="A18" s="2" t="inlineStr">
        <is>
          <t>Revenue levers</t>
        </is>
      </c>
      <c r="L18" s="12">
        <f>SUMIF($B$2:$B$15,"Revenue",L$2:L$15)</f>
        <v/>
      </c>
      <c r="M18" s="12">
        <f>SUMIF($B$2:$B$15,"Revenue",M$2:M$15)</f>
        <v/>
      </c>
      <c r="N18" s="12">
        <f>SUMIF($B$2:$B$15,"Revenue",N$2:N$15)</f>
        <v/>
      </c>
    </row>
    <row r="19">
      <c r="A19" s="2" t="inlineStr">
        <is>
          <t>Expense levers</t>
        </is>
      </c>
      <c r="L19" s="12">
        <f>SUMIF($B$2:$B$15,"Expense",L$2:L$15)</f>
        <v/>
      </c>
      <c r="M19" s="12">
        <f>SUMIF($B$2:$B$15,"Expense",M$2:M$15)</f>
        <v/>
      </c>
      <c r="N19" s="12">
        <f>SUMIF($B$2:$B$15,"Expense",N$2:N$15)</f>
        <v/>
      </c>
    </row>
  </sheetData>
  <pageMargins left="0.75" right="0.75" top="1" bottom="1" header="0.511811023622047" footer="0.511811023622047"/>
  <pageSetup orientation="portrait" paperSize="9" horizontalDpi="300" verticalDpi="3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language xmlns:dc="http://purl.org/dc/elements/1.1/">en-US</dc:language>
  <dcterms:created xmlns:dcterms="http://purl.org/dc/terms/" xmlns:xsi="http://www.w3.org/2001/XMLSchema-instance" xsi:type="dcterms:W3CDTF">2026-09-21T21:38:20Z</dcterms:created>
  <dcterms:modified xmlns:dcterms="http://purl.org/dc/terms/" xmlns:xsi="http://www.w3.org/2001/XMLSchema-instance" xsi:type="dcterms:W3CDTF">2026-09-28T20:35:06Z</dcterms:modified>
  <cp:lastModifiedBy>Church Resources</cp:lastModifiedBy>
  <cp:revision>0</cp:revision>
  <cp:lastPrinted>2026-09-21T21:42:41Z</cp:lastPrinted>
</cp:coreProperties>
</file>